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" windowHeight="945" activeTab="0"/>
  </bookViews>
  <sheets>
    <sheet name="Лист1" sheetId="1" r:id="rId1"/>
    <sheet name="Source" sheetId="2" r:id="rId2"/>
  </sheets>
  <definedNames>
    <definedName name="_xlnm.Print_Titles" localSheetId="0">'Лист1'!$20:$20</definedName>
  </definedNames>
  <calcPr fullCalcOnLoad="1"/>
</workbook>
</file>

<file path=xl/sharedStrings.xml><?xml version="1.0" encoding="utf-8"?>
<sst xmlns="http://schemas.openxmlformats.org/spreadsheetml/2006/main" count="675" uniqueCount="222">
  <si>
    <t>Ресурсная Смета</t>
  </si>
  <si>
    <t/>
  </si>
  <si>
    <t>PS</t>
  </si>
  <si>
    <t>0 - Сметная строка   1 - Подчинённая строка</t>
  </si>
  <si>
    <t>Признак печати строки: 1 - выводить в документ , 0 - Нет</t>
  </si>
  <si>
    <t>Порядковый номер</t>
  </si>
  <si>
    <t>Обоснование (шифр)</t>
  </si>
  <si>
    <t>Наименование работы</t>
  </si>
  <si>
    <t>Единица измерения</t>
  </si>
  <si>
    <t>Объем работ, материалов</t>
  </si>
  <si>
    <t>Норма расхода</t>
  </si>
  <si>
    <t>Тип: Проект / Смета / План / Факт в виде строки</t>
  </si>
  <si>
    <t>Всего (Объем плана работ)</t>
  </si>
  <si>
    <t>Выполнено (Объем фактического исполнения)</t>
  </si>
  <si>
    <t>Осталось</t>
  </si>
  <si>
    <t>Итоговые ПЗ</t>
  </si>
  <si>
    <t>Итоговая стоимость материалов</t>
  </si>
  <si>
    <t>Итоговая ЭМиМ</t>
  </si>
  <si>
    <t>Итоговая ЗПМ</t>
  </si>
  <si>
    <t>Итоговая ОЗП</t>
  </si>
  <si>
    <t>Итоговый возврат материалов</t>
  </si>
  <si>
    <t>Итоговая тр. строит.</t>
  </si>
  <si>
    <t>Итоговые тр. машин.</t>
  </si>
  <si>
    <t>Итоговый транспорт</t>
  </si>
  <si>
    <t>Итоговые НР</t>
  </si>
  <si>
    <t>Итоговая СП</t>
  </si>
  <si>
    <t>Един.ПЗ</t>
  </si>
  <si>
    <t>Един.стоим.матер.</t>
  </si>
  <si>
    <t>Един.ЭМиМ</t>
  </si>
  <si>
    <t>Един.ЗПМ</t>
  </si>
  <si>
    <t>Един.ОЗП</t>
  </si>
  <si>
    <t>Един.Возвр.матер.</t>
  </si>
  <si>
    <t>Един.трудоемкость</t>
  </si>
  <si>
    <t>Един.труд.машин.</t>
  </si>
  <si>
    <t>Един.транспорт</t>
  </si>
  <si>
    <t>Базовые ПЗ</t>
  </si>
  <si>
    <t>Базовая ст.матер.</t>
  </si>
  <si>
    <t>Базовая ЭМиМ</t>
  </si>
  <si>
    <t>Базовая ЗПМ</t>
  </si>
  <si>
    <t>Базовая ОЗП</t>
  </si>
  <si>
    <t>Базовый возвр.матер.</t>
  </si>
  <si>
    <t>Базовая труд.строит.</t>
  </si>
  <si>
    <t>Базовая труд.машин.</t>
  </si>
  <si>
    <t>Базовая ст.трансп.</t>
  </si>
  <si>
    <t>%НР в формуле</t>
  </si>
  <si>
    <t>%СП в формуле</t>
  </si>
  <si>
    <t>%зимн.удор.работ</t>
  </si>
  <si>
    <t>%зимн.удор.матер.</t>
  </si>
  <si>
    <t>Норм. От ФОТ НР</t>
  </si>
  <si>
    <t>Норм. От ФОТ СП</t>
  </si>
  <si>
    <t>Индекс на ПЗ</t>
  </si>
  <si>
    <t>Индекс на ОЗП</t>
  </si>
  <si>
    <t>Индекс на ЭМиМ</t>
  </si>
  <si>
    <t>Индекс на матер.</t>
  </si>
  <si>
    <t>Заказчик (строка)</t>
  </si>
  <si>
    <t>Генподрядчик (строка)</t>
  </si>
  <si>
    <t>Субподрядчик (строка)</t>
  </si>
  <si>
    <t>Имя исполнителя работ (строка)</t>
  </si>
  <si>
    <t>Признак работы/материла</t>
  </si>
  <si>
    <t>Альт. обоснование</t>
  </si>
  <si>
    <t>Альт.ед.измерения</t>
  </si>
  <si>
    <t>Коэфф.пересчета ед.изм.</t>
  </si>
  <si>
    <t>№ формулы (определитель)</t>
  </si>
  <si>
    <t>Тип Индексов: 0 - нет  1 - не МТСН  2 - МТСН</t>
  </si>
  <si>
    <t>Пункт индекса (для МТСН - пусто)</t>
  </si>
  <si>
    <t>масса брутто</t>
  </si>
  <si>
    <t>Масса нетто</t>
  </si>
  <si>
    <t>Трансп.калькул.</t>
  </si>
  <si>
    <t>Отпускная цена матер.</t>
  </si>
  <si>
    <t>Норм.цена материала</t>
  </si>
  <si>
    <t>Оптовая цена матер.</t>
  </si>
  <si>
    <t>Фирм.цена матер.</t>
  </si>
  <si>
    <t>Поставщик матер.</t>
  </si>
  <si>
    <t>Средний разряд работы</t>
  </si>
  <si>
    <t>Начало выполнения работ</t>
  </si>
  <si>
    <t>Признак закрытия работы</t>
  </si>
  <si>
    <t>Признак закрытия объема работ</t>
  </si>
  <si>
    <t>Объем возврата объема</t>
  </si>
  <si>
    <t>Дата возврата объема работ</t>
  </si>
  <si>
    <t>Признак прим.альт.ед.изм.</t>
  </si>
  <si>
    <t>ЗП самого машиниста</t>
  </si>
  <si>
    <t>Год индекса</t>
  </si>
  <si>
    <t>Номер месяца индексов</t>
  </si>
  <si>
    <t>Список поправок АВС</t>
  </si>
  <si>
    <t>Поправка к ПЗ</t>
  </si>
  <si>
    <t>Поправка к матер.</t>
  </si>
  <si>
    <t>Поправка к ЭМиМ</t>
  </si>
  <si>
    <t>Поправка к ЗПМ</t>
  </si>
  <si>
    <t>Поправка к ОЗП</t>
  </si>
  <si>
    <t>Поправка к возвр.матер.</t>
  </si>
  <si>
    <t>Поправка к тр.строит.</t>
  </si>
  <si>
    <t>Поправка к тр.машин.</t>
  </si>
  <si>
    <t>Поправка к трансп.</t>
  </si>
  <si>
    <t>марков алеш.6мес - 1216404,23</t>
  </si>
  <si>
    <t>False</t>
  </si>
  <si>
    <t>2004ремонт</t>
  </si>
  <si>
    <t>True</t>
  </si>
  <si>
    <t xml:space="preserve"> </t>
  </si>
  <si>
    <t>РАЗДЕЛ 1</t>
  </si>
  <si>
    <t>1</t>
  </si>
  <si>
    <t>14.1-22-7</t>
  </si>
  <si>
    <t>ТЕХНИЧЕСКОЕ ОБСЛУЖИВАНИЕ В ТЕЧЕНИЕ ГОДА ХОЛОДИЛЬНЫХ УСТАНОВОК МОЩНОСТЬЮ 290 КВТ  (К=1,2  Т.ч. п.1.3;      К=1,7 Т.ч. п.1.7)</t>
  </si>
  <si>
    <t>установка</t>
  </si>
  <si>
    <t>МТСН 81.14-98. Доп.2. Сб.1, т.22, поз.7</t>
  </si>
  <si>
    <t>2004</t>
  </si>
  <si>
    <t>9</t>
  </si>
  <si>
    <t>_x0014__x0015__x0016_</t>
  </si>
  <si>
    <t>)*1.2</t>
  </si>
  <si>
    <t>)*1.2)*1.7</t>
  </si>
  <si>
    <t>2</t>
  </si>
  <si>
    <t>ЭКСПЛУАТАЦИЯ В ТЕЧЕНИЕ ГОДА ХОЛОДИЛЬНЫХ УСТАНОВОК МОЩНОСТЬЮ 290 КВТ  (К=0,4 Т.ч.  п.1.4)</t>
  </si>
  <si>
    <t>)*1.2)*1.7)*0.4</t>
  </si>
  <si>
    <t>3</t>
  </si>
  <si>
    <t>14.1-19-1</t>
  </si>
  <si>
    <t xml:space="preserve">ТЕХНИЧЕСКОЕ ОБСЛУЖИВАНИЕ В ТЕЧЕНИЕ ГОДА ВЫТЯЖНЫХ УСТАНОВОК ПРОИЗВОДИТЕЛЬНОСТЬЮ ПО ВОЗДУХУ ДО 2000 М3/Ч </t>
  </si>
  <si>
    <t>МТСН 81.14-98. Доп.2. Сб.1, т.19, поз.1</t>
  </si>
  <si>
    <t>4</t>
  </si>
  <si>
    <t xml:space="preserve">ЭКСПЛУАТАЦИЯ В ТЕЧЕНИЕ ГОДА ВЫТЯЖНЫХ УСТАНОВОК ПРОИЗВОДИТЕЛЬНОСТЬЮ ПО ВОЗДУХУ ДО 2000 М3/Ч </t>
  </si>
  <si>
    <t>)*1.2)*0.4</t>
  </si>
  <si>
    <t>5</t>
  </si>
  <si>
    <t>14.1-19-2</t>
  </si>
  <si>
    <t xml:space="preserve">ТЕХНИЧЕСКОЕ ОБСЛУЖИВАНИЕ В ТЕЧЕНИЕ ГОДА ВЫТЯЖНЫХ УСТАНОВОК ПРОИЗВОДИТЕЛЬНОСТЬЮ ПО ВОЗДУХУ ДО 5000 М3/Ч </t>
  </si>
  <si>
    <t>МТСН 81.14-98. Доп.2. Сб.1, т.19, поз.2</t>
  </si>
  <si>
    <t>6</t>
  </si>
  <si>
    <t xml:space="preserve">ЭКСПЛУАТАЦИЯ В ТЕЧЕНИЕ ГОДА ВЫТЯЖНЫХ УСТАНОВОК ПРОИЗВОДИТЕЛЬНОСТЬЮ ПО ВОЗДУХУ ДО 5000 М3/Ч </t>
  </si>
  <si>
    <t>7</t>
  </si>
  <si>
    <t>14.1-19-3</t>
  </si>
  <si>
    <t xml:space="preserve">ТЕХНИЧЕСКОЕ ОБСЛУЖИВАНИЕ В ТЕЧЕНИЕ ГОДА ВЫТЯЖНЫХ УСТАНОВОК ПРОИЗВОДИТЕЛЬНОСТЬЮ ПО ВОЗДУХУ ДО 10000 М3/Ч </t>
  </si>
  <si>
    <t>МТСН 81.14-98. Доп.2. Сб.1, т.19, поз.3</t>
  </si>
  <si>
    <t>8</t>
  </si>
  <si>
    <t xml:space="preserve">ЭКСПЛУАТАЦИЯ В ТЕЧЕНИЕ ГОДА ВЫТЯЖНЫХ УСТАНОВОК ПРОИЗВОДИТЕЛЬНОСТЬЮ ПО ВОЗДУХУ ДО 10000 М3/Ч </t>
  </si>
  <si>
    <t>14.1-15-1</t>
  </si>
  <si>
    <t xml:space="preserve">ТЕХНИЧЕСКОЕ ОБСЛУЖИВАНИЕ В ТЕЧЕНИЕ ГОДА ПРИТОЧНЫХ УСТАНОВОК С АВТОМАТИКОЙ, ПРОИЗВОДИТЕЛЬНОСТЬЮ ПО ВОЗДУХУ ДО 5000 М3/Ч </t>
  </si>
  <si>
    <t>МТСН 81.14-98. Доп.2. Сб.1, т.15, поз.1</t>
  </si>
  <si>
    <t>10</t>
  </si>
  <si>
    <t xml:space="preserve">ЭКСПЛУАТАЦИЯ В ТЕЧЕНИЕ ГОДА ПРИТОЧНЫХ УСТАНОВОК С АВТОМАТИКОЙ, ПРОИЗВОДИТЕЛЬНОСТЬЮ ПО ВОЗДУХУ ДО 5000 М3/Ч </t>
  </si>
  <si>
    <t>11</t>
  </si>
  <si>
    <t>14.1-15-3</t>
  </si>
  <si>
    <t xml:space="preserve">ТЕХНИЧЕСКОЕ ОБСЛУЖИВАНИЕ В ТЕЧЕНИЕ ГОДА ПРИТОЧНЫХ УСТАНОВОК С АВТОМАТИКОЙ, ПРОИЗВОДИТЕЛЬНОСТЬЮ ПО ВОЗДУХУ ДО 20000 М3/Ч </t>
  </si>
  <si>
    <t>МТСН 81.14-98. Доп.2. Сб.1, т.15, поз.3</t>
  </si>
  <si>
    <t>12</t>
  </si>
  <si>
    <t xml:space="preserve">ЭКСПЛУАТАЦИЯ В ТЕЧЕНИЕ ГОДА ПРИТОЧНЫХ УСТАНОВОК С АВТОМАТИКОЙ, ПРОИЗВОДИТЕЛЬНОСТЬЮ ПО ВОЗДУХУ ДО 20000 М3/Ч </t>
  </si>
  <si>
    <t>13</t>
  </si>
  <si>
    <t>14.1-22-1 прим.</t>
  </si>
  <si>
    <t>ТЕХНИЧЕСКОЕ ОБСЛУЖИВАНИЕ В ТЕЧЕНИЕ ГОДА МЕСТНЫХ НЕАВТОНОМНЫХ КОНДИЦИОНЕРОВ   (К=1,1 Т.ч. п.1.9)</t>
  </si>
  <si>
    <t>МТСН 81.14-98. Доп.2. Сб.1, т.22, поз.1</t>
  </si>
  <si>
    <t>)*1.2)*1.1</t>
  </si>
  <si>
    <t>14</t>
  </si>
  <si>
    <t xml:space="preserve">ЭКСПЛУАТАЦИЯ В ТЕЧЕНИЕ ГОДА МЕСТНЫХ НЕАВТОНОМНЫХ КОНДИЦИОНЕРОВ </t>
  </si>
  <si>
    <t>)*1.2)*1.1)*0.4</t>
  </si>
  <si>
    <t>Прямые затраты</t>
  </si>
  <si>
    <t>ПЗ</t>
  </si>
  <si>
    <t>ЗП машинистов</t>
  </si>
  <si>
    <t>ЗПМ</t>
  </si>
  <si>
    <t>Накладные расходы</t>
  </si>
  <si>
    <t>НР</t>
  </si>
  <si>
    <t>Сметная прибыль</t>
  </si>
  <si>
    <t>СП</t>
  </si>
  <si>
    <t>Итого</t>
  </si>
  <si>
    <t>Итог раздела</t>
  </si>
  <si>
    <t>НДС 18%</t>
  </si>
  <si>
    <t>ндс</t>
  </si>
  <si>
    <t>ВСЕГО В ГОД</t>
  </si>
  <si>
    <t>ГОД</t>
  </si>
  <si>
    <t>Итого за 6 месяцев</t>
  </si>
  <si>
    <t>полугод</t>
  </si>
  <si>
    <t>нд</t>
  </si>
  <si>
    <t>ВСЕГО ЗА 6 МЕСЯЦЕВ</t>
  </si>
  <si>
    <t>ВСМЕСЯЦ</t>
  </si>
  <si>
    <t>-1</t>
  </si>
  <si>
    <t xml:space="preserve">ЛОКАЛЬНАЯ СМЕТА №  </t>
  </si>
  <si>
    <t>Составлен(а) в уровне текущих (прогнозных) цен на</t>
  </si>
  <si>
    <t>г.</t>
  </si>
  <si>
    <t>№</t>
  </si>
  <si>
    <t>п/п</t>
  </si>
  <si>
    <t>Шифр</t>
  </si>
  <si>
    <t>расценки</t>
  </si>
  <si>
    <t>и коды</t>
  </si>
  <si>
    <t>ресурсов</t>
  </si>
  <si>
    <t>Наименование работ и затрат</t>
  </si>
  <si>
    <t>Единица</t>
  </si>
  <si>
    <t>изме-</t>
  </si>
  <si>
    <t>рения</t>
  </si>
  <si>
    <t>Кол-во</t>
  </si>
  <si>
    <t>единиц</t>
  </si>
  <si>
    <t>Цена</t>
  </si>
  <si>
    <t>на ед.</t>
  </si>
  <si>
    <t>изм.</t>
  </si>
  <si>
    <t>руб.</t>
  </si>
  <si>
    <t>Коэффициенты</t>
  </si>
  <si>
    <t>попра-</t>
  </si>
  <si>
    <t>вочные</t>
  </si>
  <si>
    <t>зимних</t>
  </si>
  <si>
    <t>удоро-</t>
  </si>
  <si>
    <t>жаний</t>
  </si>
  <si>
    <t>перес-</t>
  </si>
  <si>
    <t>чета</t>
  </si>
  <si>
    <t>ВСЕГО</t>
  </si>
  <si>
    <t>затрат,</t>
  </si>
  <si>
    <t>Справочно</t>
  </si>
  <si>
    <t>ЗТР, всего</t>
  </si>
  <si>
    <t>чел.-час</t>
  </si>
  <si>
    <t>Ст-ть ед.</t>
  </si>
  <si>
    <t>с начислен.</t>
  </si>
  <si>
    <t>ЗП</t>
  </si>
  <si>
    <t>МР</t>
  </si>
  <si>
    <t>НР от ЗП</t>
  </si>
  <si>
    <t>%</t>
  </si>
  <si>
    <t>СП от ЗП</t>
  </si>
  <si>
    <t>ЗТР</t>
  </si>
  <si>
    <t>чел-ч</t>
  </si>
  <si>
    <t>Итого по разделу</t>
  </si>
  <si>
    <t>"СОГЛАСОВАНО"</t>
  </si>
  <si>
    <t xml:space="preserve">"УТВЕРЖДАЮ " </t>
  </si>
  <si>
    <t>Генеральный Директор</t>
  </si>
  <si>
    <t>______________</t>
  </si>
  <si>
    <t>"________"_____________________200____г.</t>
  </si>
  <si>
    <t>СОСТАВИЛ:________________________</t>
  </si>
  <si>
    <t>ПРОВЕРИЛ:_________________________</t>
  </si>
  <si>
    <t>на техническое обслуживание холодильных установок, систем вентиляции и кондиционирования воздуха  комплекса зданий _______</t>
  </si>
  <si>
    <t>________________</t>
  </si>
  <si>
    <t>ООО "____________"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</si>
</sst>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mmmm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2"/>
      <name val="Arial"/>
      <family val="0"/>
    </font>
    <font>
      <b/>
      <sz val="10"/>
      <color indexed="16"/>
      <name val="Arial"/>
      <family val="0"/>
    </font>
    <font>
      <b/>
      <sz val="10"/>
      <color indexed="17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u val="single"/>
      <sz val="18"/>
      <name val="Times New Roman"/>
      <family val="1"/>
    </font>
    <font>
      <i/>
      <sz val="12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wrapText="1" shrinkToFit="1"/>
    </xf>
    <xf numFmtId="0" fontId="11" fillId="0" borderId="0" xfId="0" applyFont="1" applyAlignment="1">
      <alignment horizontal="right" wrapText="1" shrinkToFit="1"/>
    </xf>
    <xf numFmtId="0" fontId="7" fillId="0" borderId="0" xfId="0" applyFont="1" applyAlignment="1">
      <alignment shrinkToFit="1"/>
    </xf>
    <xf numFmtId="0" fontId="7" fillId="0" borderId="0" xfId="0" applyFont="1" applyAlignment="1">
      <alignment wrapText="1"/>
    </xf>
    <xf numFmtId="0" fontId="7" fillId="0" borderId="5" xfId="0" applyFont="1" applyBorder="1" applyAlignment="1">
      <alignment/>
    </xf>
    <xf numFmtId="0" fontId="7" fillId="0" borderId="5" xfId="0" applyFont="1" applyBorder="1" applyAlignment="1">
      <alignment wrapText="1"/>
    </xf>
    <xf numFmtId="2" fontId="13" fillId="0" borderId="0" xfId="0" applyNumberFormat="1" applyFont="1" applyAlignment="1">
      <alignment/>
    </xf>
    <xf numFmtId="0" fontId="13" fillId="0" borderId="0" xfId="0" applyFont="1" applyAlignment="1">
      <alignment/>
    </xf>
    <xf numFmtId="2" fontId="8" fillId="0" borderId="0" xfId="0" applyNumberFormat="1" applyFont="1" applyAlignment="1">
      <alignment shrinkToFi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1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2" fontId="13" fillId="0" borderId="0" xfId="0" applyNumberFormat="1" applyFont="1" applyAlignment="1">
      <alignment horizontal="right"/>
    </xf>
    <xf numFmtId="2" fontId="13" fillId="0" borderId="0" xfId="0" applyNumberFormat="1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0" borderId="0" xfId="0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1"/>
  <sheetViews>
    <sheetView tabSelected="1" zoomScale="75" zoomScaleNormal="75" workbookViewId="0" topLeftCell="A1">
      <selection activeCell="B12" sqref="B12:K12"/>
    </sheetView>
  </sheetViews>
  <sheetFormatPr defaultColWidth="9.140625" defaultRowHeight="12.75"/>
  <cols>
    <col min="1" max="1" width="5.28125" style="0" customWidth="1"/>
    <col min="2" max="2" width="12.140625" style="0" customWidth="1"/>
    <col min="3" max="3" width="40.7109375" style="0" customWidth="1"/>
    <col min="4" max="4" width="10.57421875" style="0" bestFit="1" customWidth="1"/>
    <col min="5" max="5" width="9.421875" style="0" bestFit="1" customWidth="1"/>
    <col min="6" max="6" width="9.28125" style="0" bestFit="1" customWidth="1"/>
    <col min="7" max="7" width="16.28125" style="0" customWidth="1"/>
    <col min="8" max="8" width="9.28125" style="0" bestFit="1" customWidth="1"/>
    <col min="9" max="9" width="10.7109375" style="0" bestFit="1" customWidth="1"/>
    <col min="10" max="10" width="14.28125" style="0" customWidth="1"/>
    <col min="11" max="11" width="11.00390625" style="0" bestFit="1" customWidth="1"/>
  </cols>
  <sheetData>
    <row r="1" spans="1:11" s="4" customFormat="1" ht="18">
      <c r="A1" s="26"/>
      <c r="B1" s="27" t="s">
        <v>212</v>
      </c>
      <c r="C1" s="27"/>
      <c r="D1" s="26"/>
      <c r="E1" s="27"/>
      <c r="F1" s="27"/>
      <c r="G1" s="27" t="s">
        <v>213</v>
      </c>
      <c r="H1" s="27"/>
      <c r="I1" s="26"/>
      <c r="J1" s="26"/>
      <c r="K1" s="26"/>
    </row>
    <row r="2" spans="1:11" s="4" customFormat="1" ht="18">
      <c r="A2" s="26"/>
      <c r="B2" s="27" t="s">
        <v>214</v>
      </c>
      <c r="C2" s="27"/>
      <c r="D2" s="26"/>
      <c r="E2" s="27"/>
      <c r="F2" s="27"/>
      <c r="G2" s="27"/>
      <c r="H2" s="27"/>
      <c r="I2" s="26"/>
      <c r="J2" s="26"/>
      <c r="K2" s="26"/>
    </row>
    <row r="3" spans="1:12" s="4" customFormat="1" ht="18">
      <c r="A3" s="26"/>
      <c r="B3" s="27" t="s">
        <v>221</v>
      </c>
      <c r="C3" s="27"/>
      <c r="D3" s="26"/>
      <c r="E3" s="27"/>
      <c r="F3" s="27"/>
      <c r="G3" s="27"/>
      <c r="H3" s="27"/>
      <c r="I3" s="26"/>
      <c r="J3" s="26"/>
      <c r="K3" s="26"/>
      <c r="L3"/>
    </row>
    <row r="4" spans="1:12" s="4" customFormat="1" ht="18">
      <c r="A4" s="26"/>
      <c r="B4" s="27"/>
      <c r="C4" s="27"/>
      <c r="D4" s="26"/>
      <c r="E4" s="27"/>
      <c r="F4" s="27"/>
      <c r="G4" s="27"/>
      <c r="H4" s="27"/>
      <c r="I4" s="26"/>
      <c r="J4" s="26"/>
      <c r="K4" s="26"/>
      <c r="L4"/>
    </row>
    <row r="5" spans="1:12" s="4" customFormat="1" ht="18">
      <c r="A5" s="26"/>
      <c r="B5" s="27" t="s">
        <v>220</v>
      </c>
      <c r="C5" s="27"/>
      <c r="D5" s="26"/>
      <c r="E5" s="27"/>
      <c r="F5" s="27"/>
      <c r="G5" s="27" t="s">
        <v>215</v>
      </c>
      <c r="H5" s="27"/>
      <c r="I5" s="26"/>
      <c r="J5" s="26"/>
      <c r="K5" s="26"/>
      <c r="L5"/>
    </row>
    <row r="6" spans="1:12" s="4" customFormat="1" ht="18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/>
    </row>
    <row r="7" spans="1:12" s="4" customFormat="1" ht="18">
      <c r="A7" s="26"/>
      <c r="B7" s="27" t="s">
        <v>216</v>
      </c>
      <c r="C7" s="27"/>
      <c r="D7" s="26"/>
      <c r="E7" s="26"/>
      <c r="F7" s="26"/>
      <c r="G7" s="27" t="s">
        <v>216</v>
      </c>
      <c r="H7" s="27"/>
      <c r="I7" s="26"/>
      <c r="J7" s="26"/>
      <c r="K7" s="26"/>
      <c r="L7"/>
    </row>
    <row r="8" s="4" customFormat="1" ht="15.75"/>
    <row r="9" s="4" customFormat="1" ht="15.75"/>
    <row r="11" spans="1:11" ht="26.25" customHeight="1">
      <c r="A11" s="29" t="s">
        <v>170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11" ht="70.5" customHeight="1">
      <c r="A12" s="4"/>
      <c r="B12" s="36" t="str">
        <f>IF(Source!F9&lt;&gt;"",Source!F9,Source!E9)</f>
        <v>на техническое обслуживание холодильных установок, систем вентиляции и кондиционирования воздуха  комплекса зданий _______</v>
      </c>
      <c r="C12" s="36"/>
      <c r="D12" s="36"/>
      <c r="E12" s="36"/>
      <c r="F12" s="36"/>
      <c r="G12" s="36"/>
      <c r="H12" s="36"/>
      <c r="I12" s="36"/>
      <c r="J12" s="36"/>
      <c r="K12" s="36"/>
    </row>
    <row r="14" spans="1:6" ht="15.75">
      <c r="A14" s="4" t="s">
        <v>171</v>
      </c>
      <c r="B14" s="4"/>
      <c r="C14" s="4"/>
      <c r="D14" s="5">
        <f>IF(AND(Source!P9&lt;&gt;0,Source!Q9&lt;&gt;0),DATE(Source!P9,Source!Q9,1),IF(Source!AF9=0,"",IF(Source!AN9=0,"",DATE(Source!AF9,Source!AN9,1))))</f>
        <v>38231</v>
      </c>
      <c r="E14" s="6">
        <f>IF(AND(Source!P9&lt;&gt;0,Source!Q9&lt;&gt;0),Source!P9,IF(Source!AF9=0,"",Source!AF9))</f>
        <v>2004</v>
      </c>
      <c r="F14" s="4" t="s">
        <v>172</v>
      </c>
    </row>
    <row r="15" spans="1:11" ht="15.75">
      <c r="A15" s="10"/>
      <c r="B15" s="10"/>
      <c r="C15" s="10"/>
      <c r="D15" s="10"/>
      <c r="E15" s="10"/>
      <c r="F15" s="9" t="s">
        <v>185</v>
      </c>
      <c r="G15" s="37" t="s">
        <v>189</v>
      </c>
      <c r="H15" s="38"/>
      <c r="I15" s="39"/>
      <c r="J15" s="9"/>
      <c r="K15" s="14" t="s">
        <v>199</v>
      </c>
    </row>
    <row r="16" spans="1:11" ht="15.75">
      <c r="A16" s="7" t="s">
        <v>173</v>
      </c>
      <c r="B16" s="7" t="s">
        <v>175</v>
      </c>
      <c r="C16" s="11"/>
      <c r="D16" s="7" t="s">
        <v>180</v>
      </c>
      <c r="E16" s="7" t="s">
        <v>183</v>
      </c>
      <c r="F16" s="7" t="s">
        <v>186</v>
      </c>
      <c r="G16" s="9"/>
      <c r="H16" s="9" t="s">
        <v>192</v>
      </c>
      <c r="I16" s="9"/>
      <c r="J16" s="7" t="s">
        <v>197</v>
      </c>
      <c r="K16" s="9" t="s">
        <v>200</v>
      </c>
    </row>
    <row r="17" spans="1:11" ht="15.75">
      <c r="A17" s="7" t="s">
        <v>174</v>
      </c>
      <c r="B17" s="7" t="s">
        <v>176</v>
      </c>
      <c r="C17" s="7" t="s">
        <v>179</v>
      </c>
      <c r="D17" s="7" t="s">
        <v>181</v>
      </c>
      <c r="E17" s="7" t="s">
        <v>184</v>
      </c>
      <c r="F17" s="7" t="s">
        <v>187</v>
      </c>
      <c r="G17" s="7" t="s">
        <v>190</v>
      </c>
      <c r="H17" s="7" t="s">
        <v>193</v>
      </c>
      <c r="I17" s="7" t="s">
        <v>195</v>
      </c>
      <c r="J17" s="7" t="s">
        <v>198</v>
      </c>
      <c r="K17" s="8" t="s">
        <v>201</v>
      </c>
    </row>
    <row r="18" spans="1:11" ht="15.75">
      <c r="A18" s="11"/>
      <c r="B18" s="7" t="s">
        <v>177</v>
      </c>
      <c r="C18" s="11"/>
      <c r="D18" s="7" t="s">
        <v>182</v>
      </c>
      <c r="E18" s="11"/>
      <c r="F18" s="7" t="s">
        <v>188</v>
      </c>
      <c r="G18" s="7" t="s">
        <v>191</v>
      </c>
      <c r="H18" s="7" t="s">
        <v>194</v>
      </c>
      <c r="I18" s="7" t="s">
        <v>196</v>
      </c>
      <c r="J18" s="7" t="s">
        <v>188</v>
      </c>
      <c r="K18" s="9" t="s">
        <v>202</v>
      </c>
    </row>
    <row r="19" spans="1:11" ht="15.75">
      <c r="A19" s="12"/>
      <c r="B19" s="8" t="s">
        <v>178</v>
      </c>
      <c r="C19" s="12"/>
      <c r="D19" s="12"/>
      <c r="E19" s="12"/>
      <c r="F19" s="12"/>
      <c r="G19" s="8"/>
      <c r="H19" s="8"/>
      <c r="I19" s="8"/>
      <c r="J19" s="8"/>
      <c r="K19" s="8" t="s">
        <v>203</v>
      </c>
    </row>
    <row r="20" spans="1:11" ht="15.75">
      <c r="A20" s="13">
        <v>1</v>
      </c>
      <c r="B20" s="13">
        <v>2</v>
      </c>
      <c r="C20" s="13">
        <v>3</v>
      </c>
      <c r="D20" s="13">
        <v>4</v>
      </c>
      <c r="E20" s="13">
        <v>5</v>
      </c>
      <c r="F20" s="13">
        <v>6</v>
      </c>
      <c r="G20" s="13">
        <v>7</v>
      </c>
      <c r="H20" s="13">
        <v>8</v>
      </c>
      <c r="I20" s="13">
        <v>9</v>
      </c>
      <c r="J20" s="13">
        <v>10</v>
      </c>
      <c r="K20" s="13">
        <v>11</v>
      </c>
    </row>
    <row r="22" spans="3:11" ht="22.5" customHeight="1">
      <c r="C22" s="15"/>
      <c r="D22" s="31" t="str">
        <f>Source!E13</f>
        <v>РАЗДЕЛ 1</v>
      </c>
      <c r="E22" s="32"/>
      <c r="F22" s="32"/>
      <c r="G22" s="32"/>
      <c r="H22" s="32"/>
      <c r="I22" s="32"/>
      <c r="J22" s="32"/>
      <c r="K22" s="32"/>
    </row>
    <row r="24" spans="1:11" ht="78.75">
      <c r="A24" s="16" t="str">
        <f>Source!E15</f>
        <v>1</v>
      </c>
      <c r="B24" s="16" t="str">
        <f>Source!F15</f>
        <v>14.1-22-7</v>
      </c>
      <c r="C24" s="17" t="str">
        <f>Source!G15</f>
        <v>ТЕХНИЧЕСКОЕ ОБСЛУЖИВАНИЕ В ТЕЧЕНИЕ ГОДА ХОЛОДИЛЬНЫХ УСТАНОВОК МОЩНОСТЬЮ 290 КВТ  (К=1,2  Т.ч. п.1.3;      К=1,7 Т.ч. п.1.7)</v>
      </c>
      <c r="D24" s="18" t="str">
        <f>Source!H15</f>
        <v>установка</v>
      </c>
      <c r="E24" s="19">
        <f>ROUND(Source!I15,6)</f>
        <v>1</v>
      </c>
      <c r="F24" s="19"/>
      <c r="G24" s="19"/>
      <c r="H24" s="19"/>
      <c r="I24" s="19"/>
      <c r="J24" s="19"/>
      <c r="K24" s="19"/>
    </row>
    <row r="25" spans="1:11" ht="15.75">
      <c r="A25" s="4"/>
      <c r="B25" s="4"/>
      <c r="C25" s="4" t="s">
        <v>204</v>
      </c>
      <c r="D25" s="4"/>
      <c r="E25" s="4"/>
      <c r="F25" s="4">
        <f>Source!AO15</f>
        <v>5151.6</v>
      </c>
      <c r="G25" s="20" t="str">
        <f>Source!DG15</f>
        <v>)*1.2)*1.7</v>
      </c>
      <c r="H25" s="4">
        <f>Source!AV15</f>
        <v>1</v>
      </c>
      <c r="I25" s="4">
        <f>Source!BA15</f>
        <v>3.83</v>
      </c>
      <c r="J25" s="4">
        <f>Source!S15</f>
        <v>40250.48</v>
      </c>
      <c r="K25" s="4"/>
    </row>
    <row r="26" spans="1:11" ht="15.75">
      <c r="A26" s="4"/>
      <c r="B26" s="4"/>
      <c r="C26" s="4" t="s">
        <v>205</v>
      </c>
      <c r="D26" s="4"/>
      <c r="E26" s="4"/>
      <c r="F26" s="4">
        <f>Source!AL15</f>
        <v>580.51</v>
      </c>
      <c r="G26" s="20" t="str">
        <f>Source!DD15</f>
        <v>)*1.2</v>
      </c>
      <c r="H26" s="4">
        <f>Source!AW15</f>
        <v>1</v>
      </c>
      <c r="I26" s="4">
        <f>Source!BC15</f>
        <v>3.2</v>
      </c>
      <c r="J26" s="4">
        <f>Source!P15</f>
        <v>2229.16</v>
      </c>
      <c r="K26" s="4"/>
    </row>
    <row r="27" spans="1:11" ht="15.75">
      <c r="A27" s="4"/>
      <c r="B27" s="4"/>
      <c r="C27" s="4" t="s">
        <v>206</v>
      </c>
      <c r="D27" s="4" t="s">
        <v>207</v>
      </c>
      <c r="E27" s="4">
        <f>IF(Source!AX15&lt;25,Source!AX15*100,Source!AX15)</f>
        <v>101</v>
      </c>
      <c r="F27" s="4"/>
      <c r="G27" s="4"/>
      <c r="H27" s="4"/>
      <c r="I27" s="4"/>
      <c r="J27" s="4">
        <f>Source!X15</f>
        <v>40652.98</v>
      </c>
      <c r="K27" s="4"/>
    </row>
    <row r="28" spans="1:11" ht="15.75">
      <c r="A28" s="4"/>
      <c r="B28" s="4"/>
      <c r="C28" s="4" t="s">
        <v>208</v>
      </c>
      <c r="D28" s="4" t="s">
        <v>207</v>
      </c>
      <c r="E28" s="4">
        <f>IF(Source!AY15&lt;25,Source!AY15*100,Source!AY15)</f>
        <v>57</v>
      </c>
      <c r="F28" s="4"/>
      <c r="G28" s="4"/>
      <c r="H28" s="4"/>
      <c r="I28" s="4"/>
      <c r="J28" s="4">
        <f>Source!Y15</f>
        <v>22942.77</v>
      </c>
      <c r="K28" s="4"/>
    </row>
    <row r="29" spans="1:11" ht="15.75">
      <c r="A29" s="21"/>
      <c r="B29" s="21"/>
      <c r="C29" s="21" t="s">
        <v>209</v>
      </c>
      <c r="D29" s="21" t="s">
        <v>210</v>
      </c>
      <c r="E29" s="21">
        <f>Source!AQ15</f>
        <v>360</v>
      </c>
      <c r="F29" s="21"/>
      <c r="G29" s="22" t="str">
        <f>Source!DI15</f>
        <v>)*1.2)*1.7</v>
      </c>
      <c r="H29" s="21">
        <f>Source!AV15</f>
        <v>1</v>
      </c>
      <c r="I29" s="21"/>
      <c r="J29" s="21"/>
      <c r="K29" s="21">
        <f>Source!U15</f>
        <v>734.4</v>
      </c>
    </row>
    <row r="30" spans="10:11" ht="15.75">
      <c r="J30" s="23">
        <f>Source!S15+Source!Q15+SUM(J26:J28)</f>
        <v>106075.39000000001</v>
      </c>
      <c r="K30" s="23">
        <f>IF(Source!I15&lt;&gt;0,ROUND(J30/Source!I15,2),0)</f>
        <v>106075.39</v>
      </c>
    </row>
    <row r="31" spans="1:11" ht="63">
      <c r="A31" s="16" t="str">
        <f>Source!E16</f>
        <v>2</v>
      </c>
      <c r="B31" s="16" t="str">
        <f>Source!F16</f>
        <v>14.1-22-7</v>
      </c>
      <c r="C31" s="17" t="str">
        <f>Source!G16</f>
        <v>ЭКСПЛУАТАЦИЯ В ТЕЧЕНИЕ ГОДА ХОЛОДИЛЬНЫХ УСТАНОВОК МОЩНОСТЬЮ 290 КВТ  (К=0,4 Т.ч.  п.1.4)</v>
      </c>
      <c r="D31" s="18" t="str">
        <f>Source!H16</f>
        <v>установка</v>
      </c>
      <c r="E31" s="19">
        <f>ROUND(Source!I16,6)</f>
        <v>1</v>
      </c>
      <c r="F31" s="19"/>
      <c r="G31" s="19"/>
      <c r="H31" s="19"/>
      <c r="I31" s="19"/>
      <c r="J31" s="19"/>
      <c r="K31" s="19"/>
    </row>
    <row r="32" spans="1:11" ht="15.75">
      <c r="A32" s="4"/>
      <c r="B32" s="4"/>
      <c r="C32" s="4" t="s">
        <v>204</v>
      </c>
      <c r="D32" s="4"/>
      <c r="E32" s="4"/>
      <c r="F32" s="4">
        <f>Source!AO16</f>
        <v>5151.6</v>
      </c>
      <c r="G32" s="20" t="str">
        <f>Source!DG16</f>
        <v>)*1.2)*1.7)*0.4</v>
      </c>
      <c r="H32" s="4">
        <f>Source!AV16</f>
        <v>1</v>
      </c>
      <c r="I32" s="4">
        <f>Source!BA16</f>
        <v>3.83</v>
      </c>
      <c r="J32" s="4">
        <f>Source!S16</f>
        <v>16100.19</v>
      </c>
      <c r="K32" s="4"/>
    </row>
    <row r="33" spans="1:11" ht="15.75">
      <c r="A33" s="4"/>
      <c r="B33" s="4"/>
      <c r="C33" s="4" t="s">
        <v>205</v>
      </c>
      <c r="D33" s="4"/>
      <c r="E33" s="4"/>
      <c r="F33" s="4">
        <f>Source!AL16</f>
        <v>580.51</v>
      </c>
      <c r="G33" s="20" t="str">
        <f>Source!DD16</f>
        <v>)*1.2</v>
      </c>
      <c r="H33" s="4">
        <f>Source!AW16</f>
        <v>1</v>
      </c>
      <c r="I33" s="4">
        <f>Source!BC16</f>
        <v>3.2</v>
      </c>
      <c r="J33" s="4">
        <f>Source!P16</f>
        <v>2229.16</v>
      </c>
      <c r="K33" s="4"/>
    </row>
    <row r="34" spans="1:11" ht="15.75">
      <c r="A34" s="4"/>
      <c r="B34" s="4"/>
      <c r="C34" s="4" t="s">
        <v>206</v>
      </c>
      <c r="D34" s="4" t="s">
        <v>207</v>
      </c>
      <c r="E34" s="4">
        <f>IF(Source!AX16&lt;25,Source!AX16*100,Source!AX16)</f>
        <v>101</v>
      </c>
      <c r="F34" s="4"/>
      <c r="G34" s="4"/>
      <c r="H34" s="4"/>
      <c r="I34" s="4"/>
      <c r="J34" s="4">
        <f>Source!X16</f>
        <v>16261.19</v>
      </c>
      <c r="K34" s="4"/>
    </row>
    <row r="35" spans="1:11" ht="15.75">
      <c r="A35" s="4"/>
      <c r="B35" s="4"/>
      <c r="C35" s="4" t="s">
        <v>208</v>
      </c>
      <c r="D35" s="4" t="s">
        <v>207</v>
      </c>
      <c r="E35" s="4">
        <f>IF(Source!AY16&lt;25,Source!AY16*100,Source!AY16)</f>
        <v>57</v>
      </c>
      <c r="F35" s="4"/>
      <c r="G35" s="4"/>
      <c r="H35" s="4"/>
      <c r="I35" s="4"/>
      <c r="J35" s="4">
        <f>Source!Y16</f>
        <v>9177.11</v>
      </c>
      <c r="K35" s="4"/>
    </row>
    <row r="36" spans="1:11" ht="15.75">
      <c r="A36" s="21"/>
      <c r="B36" s="21"/>
      <c r="C36" s="21" t="s">
        <v>209</v>
      </c>
      <c r="D36" s="21" t="s">
        <v>210</v>
      </c>
      <c r="E36" s="21">
        <f>Source!AQ16</f>
        <v>360</v>
      </c>
      <c r="F36" s="21"/>
      <c r="G36" s="22" t="str">
        <f>Source!DI16</f>
        <v>)*1.2)*1.7)*0.4</v>
      </c>
      <c r="H36" s="21">
        <f>Source!AV16</f>
        <v>1</v>
      </c>
      <c r="I36" s="21"/>
      <c r="J36" s="21"/>
      <c r="K36" s="21">
        <f>Source!U16</f>
        <v>293.76</v>
      </c>
    </row>
    <row r="37" spans="10:11" ht="15.75">
      <c r="J37" s="23">
        <f>Source!S16+Source!Q16+SUM(J33:J35)</f>
        <v>43767.65</v>
      </c>
      <c r="K37" s="23">
        <f>IF(Source!I16&lt;&gt;0,ROUND(J37/Source!I16,2),0)</f>
        <v>43767.65</v>
      </c>
    </row>
    <row r="38" spans="1:11" ht="78.75">
      <c r="A38" s="16" t="str">
        <f>Source!E17</f>
        <v>3</v>
      </c>
      <c r="B38" s="16" t="str">
        <f>Source!F17</f>
        <v>14.1-19-1</v>
      </c>
      <c r="C38" s="17" t="str">
        <f>Source!G17</f>
        <v>ТЕХНИЧЕСКОЕ ОБСЛУЖИВАНИЕ В ТЕЧЕНИЕ ГОДА ВЫТЯЖНЫХ УСТАНОВОК ПРОИЗВОДИТЕЛЬНОСТЬЮ ПО ВОЗДУХУ ДО 2000 М3/Ч </v>
      </c>
      <c r="D38" s="18" t="str">
        <f>Source!H17</f>
        <v>установка</v>
      </c>
      <c r="E38" s="19">
        <f>ROUND(Source!I17,6)</f>
        <v>8</v>
      </c>
      <c r="F38" s="19"/>
      <c r="G38" s="19"/>
      <c r="H38" s="19"/>
      <c r="I38" s="19"/>
      <c r="J38" s="19"/>
      <c r="K38" s="19"/>
    </row>
    <row r="39" spans="1:11" ht="15.75">
      <c r="A39" s="4"/>
      <c r="B39" s="4"/>
      <c r="C39" s="4" t="s">
        <v>204</v>
      </c>
      <c r="D39" s="4"/>
      <c r="E39" s="4"/>
      <c r="F39" s="4">
        <f>Source!AO17</f>
        <v>414.07</v>
      </c>
      <c r="G39" s="20" t="str">
        <f>Source!DG17</f>
        <v>)*1.2</v>
      </c>
      <c r="H39" s="4">
        <f>Source!AV17</f>
        <v>1</v>
      </c>
      <c r="I39" s="4">
        <f>Source!BA17</f>
        <v>3.83</v>
      </c>
      <c r="J39" s="4">
        <f>Source!S17</f>
        <v>15224.53</v>
      </c>
      <c r="K39" s="4"/>
    </row>
    <row r="40" spans="1:11" ht="15.75">
      <c r="A40" s="4"/>
      <c r="B40" s="4"/>
      <c r="C40" s="4" t="s">
        <v>205</v>
      </c>
      <c r="D40" s="4"/>
      <c r="E40" s="4"/>
      <c r="F40" s="4">
        <f>Source!AL17</f>
        <v>51.13</v>
      </c>
      <c r="G40" s="20" t="str">
        <f>Source!DD17</f>
        <v>)*1.2</v>
      </c>
      <c r="H40" s="4">
        <f>Source!AW17</f>
        <v>1</v>
      </c>
      <c r="I40" s="4">
        <f>Source!BC17</f>
        <v>2.9</v>
      </c>
      <c r="J40" s="4">
        <f>Source!P17</f>
        <v>1423.46</v>
      </c>
      <c r="K40" s="4"/>
    </row>
    <row r="41" spans="1:11" ht="15.75">
      <c r="A41" s="4"/>
      <c r="B41" s="4"/>
      <c r="C41" s="4" t="s">
        <v>206</v>
      </c>
      <c r="D41" s="4" t="s">
        <v>207</v>
      </c>
      <c r="E41" s="4">
        <f>IF(Source!AX17&lt;25,Source!AX17*100,Source!AX17)</f>
        <v>101</v>
      </c>
      <c r="F41" s="4"/>
      <c r="G41" s="4"/>
      <c r="H41" s="4"/>
      <c r="I41" s="4"/>
      <c r="J41" s="4">
        <f>Source!X17</f>
        <v>15376.78</v>
      </c>
      <c r="K41" s="4"/>
    </row>
    <row r="42" spans="1:11" ht="15.75">
      <c r="A42" s="4"/>
      <c r="B42" s="4"/>
      <c r="C42" s="4" t="s">
        <v>208</v>
      </c>
      <c r="D42" s="4" t="s">
        <v>207</v>
      </c>
      <c r="E42" s="4">
        <f>IF(Source!AY17&lt;25,Source!AY17*100,Source!AY17)</f>
        <v>57</v>
      </c>
      <c r="F42" s="4"/>
      <c r="G42" s="4"/>
      <c r="H42" s="4"/>
      <c r="I42" s="4"/>
      <c r="J42" s="4">
        <f>Source!Y17</f>
        <v>8677.98</v>
      </c>
      <c r="K42" s="4"/>
    </row>
    <row r="43" spans="1:11" ht="15.75">
      <c r="A43" s="21"/>
      <c r="B43" s="21"/>
      <c r="C43" s="21" t="s">
        <v>209</v>
      </c>
      <c r="D43" s="21" t="s">
        <v>210</v>
      </c>
      <c r="E43" s="21">
        <f>Source!AQ17</f>
        <v>36.1</v>
      </c>
      <c r="F43" s="21"/>
      <c r="G43" s="22" t="str">
        <f>Source!DI17</f>
        <v>)*1.2</v>
      </c>
      <c r="H43" s="21">
        <f>Source!AV17</f>
        <v>1</v>
      </c>
      <c r="I43" s="21"/>
      <c r="J43" s="21"/>
      <c r="K43" s="21">
        <f>Source!U17</f>
        <v>346.56</v>
      </c>
    </row>
    <row r="44" spans="10:11" ht="15.75">
      <c r="J44" s="23">
        <f>Source!S17+Source!Q17+SUM(J40:J42)</f>
        <v>40702.75</v>
      </c>
      <c r="K44" s="23">
        <f>IF(Source!I17&lt;&gt;0,ROUND(J44/Source!I17,2),0)</f>
        <v>5087.84</v>
      </c>
    </row>
    <row r="45" spans="1:11" ht="63">
      <c r="A45" s="16" t="str">
        <f>Source!E18</f>
        <v>4</v>
      </c>
      <c r="B45" s="16" t="str">
        <f>Source!F18</f>
        <v>14.1-19-1</v>
      </c>
      <c r="C45" s="17" t="str">
        <f>Source!G18</f>
        <v>ЭКСПЛУАТАЦИЯ В ТЕЧЕНИЕ ГОДА ВЫТЯЖНЫХ УСТАНОВОК ПРОИЗВОДИТЕЛЬНОСТЬЮ ПО ВОЗДУХУ ДО 2000 М3/Ч </v>
      </c>
      <c r="D45" s="18" t="str">
        <f>Source!H18</f>
        <v>установка</v>
      </c>
      <c r="E45" s="19">
        <f>ROUND(Source!I18,6)</f>
        <v>8</v>
      </c>
      <c r="F45" s="19"/>
      <c r="G45" s="19"/>
      <c r="H45" s="19"/>
      <c r="I45" s="19"/>
      <c r="J45" s="19"/>
      <c r="K45" s="19"/>
    </row>
    <row r="46" spans="1:11" ht="15.75">
      <c r="A46" s="4"/>
      <c r="B46" s="4"/>
      <c r="C46" s="4" t="s">
        <v>204</v>
      </c>
      <c r="D46" s="4"/>
      <c r="E46" s="4"/>
      <c r="F46" s="4">
        <f>Source!AO18</f>
        <v>414.07</v>
      </c>
      <c r="G46" s="20" t="str">
        <f>Source!DG18</f>
        <v>)*1.2)*0.4</v>
      </c>
      <c r="H46" s="4">
        <f>Source!AV18</f>
        <v>1</v>
      </c>
      <c r="I46" s="4">
        <f>Source!BA18</f>
        <v>3.83</v>
      </c>
      <c r="J46" s="4">
        <f>Source!S18</f>
        <v>6089.81</v>
      </c>
      <c r="K46" s="4"/>
    </row>
    <row r="47" spans="1:11" ht="15.75">
      <c r="A47" s="4"/>
      <c r="B47" s="4"/>
      <c r="C47" s="4" t="s">
        <v>205</v>
      </c>
      <c r="D47" s="4"/>
      <c r="E47" s="4"/>
      <c r="F47" s="4">
        <f>Source!AL18</f>
        <v>51.13</v>
      </c>
      <c r="G47" s="20" t="str">
        <f>Source!DD18</f>
        <v>)*1.2</v>
      </c>
      <c r="H47" s="4">
        <f>Source!AW18</f>
        <v>1</v>
      </c>
      <c r="I47" s="4">
        <f>Source!BC18</f>
        <v>2.9</v>
      </c>
      <c r="J47" s="4">
        <f>Source!P18</f>
        <v>1423.46</v>
      </c>
      <c r="K47" s="4"/>
    </row>
    <row r="48" spans="1:11" ht="15.75">
      <c r="A48" s="4"/>
      <c r="B48" s="4"/>
      <c r="C48" s="4" t="s">
        <v>206</v>
      </c>
      <c r="D48" s="4" t="s">
        <v>207</v>
      </c>
      <c r="E48" s="4">
        <f>IF(Source!AX18&lt;25,Source!AX18*100,Source!AX18)</f>
        <v>101</v>
      </c>
      <c r="F48" s="4"/>
      <c r="G48" s="4"/>
      <c r="H48" s="4"/>
      <c r="I48" s="4"/>
      <c r="J48" s="4">
        <f>Source!X18</f>
        <v>6150.71</v>
      </c>
      <c r="K48" s="4"/>
    </row>
    <row r="49" spans="1:11" ht="15.75">
      <c r="A49" s="4"/>
      <c r="B49" s="4"/>
      <c r="C49" s="4" t="s">
        <v>208</v>
      </c>
      <c r="D49" s="4" t="s">
        <v>207</v>
      </c>
      <c r="E49" s="4">
        <f>IF(Source!AY18&lt;25,Source!AY18*100,Source!AY18)</f>
        <v>57</v>
      </c>
      <c r="F49" s="4"/>
      <c r="G49" s="4"/>
      <c r="H49" s="4"/>
      <c r="I49" s="4"/>
      <c r="J49" s="4">
        <f>Source!Y18</f>
        <v>3471.19</v>
      </c>
      <c r="K49" s="4"/>
    </row>
    <row r="50" spans="1:11" ht="15.75">
      <c r="A50" s="21"/>
      <c r="B50" s="21"/>
      <c r="C50" s="21" t="s">
        <v>209</v>
      </c>
      <c r="D50" s="21" t="s">
        <v>210</v>
      </c>
      <c r="E50" s="21">
        <f>Source!AQ18</f>
        <v>36.1</v>
      </c>
      <c r="F50" s="21"/>
      <c r="G50" s="22" t="str">
        <f>Source!DI18</f>
        <v>)*1.2)*0.4</v>
      </c>
      <c r="H50" s="21">
        <f>Source!AV18</f>
        <v>1</v>
      </c>
      <c r="I50" s="21"/>
      <c r="J50" s="21"/>
      <c r="K50" s="21">
        <f>Source!U18</f>
        <v>138.62</v>
      </c>
    </row>
    <row r="51" spans="10:11" ht="15.75">
      <c r="J51" s="23">
        <f>Source!S18+Source!Q18+SUM(J47:J49)</f>
        <v>17135.170000000002</v>
      </c>
      <c r="K51" s="23">
        <f>IF(Source!I18&lt;&gt;0,ROUND(J51/Source!I18,2),0)</f>
        <v>2141.9</v>
      </c>
    </row>
    <row r="52" spans="1:11" ht="78.75">
      <c r="A52" s="16" t="str">
        <f>Source!E19</f>
        <v>5</v>
      </c>
      <c r="B52" s="16" t="str">
        <f>Source!F19</f>
        <v>14.1-19-2</v>
      </c>
      <c r="C52" s="17" t="str">
        <f>Source!G19</f>
        <v>ТЕХНИЧЕСКОЕ ОБСЛУЖИВАНИЕ В ТЕЧЕНИЕ ГОДА ВЫТЯЖНЫХ УСТАНОВОК ПРОИЗВОДИТЕЛЬНОСТЬЮ ПО ВОЗДУХУ ДО 5000 М3/Ч </v>
      </c>
      <c r="D52" s="18" t="str">
        <f>Source!H19</f>
        <v>установка</v>
      </c>
      <c r="E52" s="19">
        <f>ROUND(Source!I19,6)</f>
        <v>5</v>
      </c>
      <c r="F52" s="19"/>
      <c r="G52" s="19"/>
      <c r="H52" s="19"/>
      <c r="I52" s="19"/>
      <c r="J52" s="19"/>
      <c r="K52" s="19"/>
    </row>
    <row r="53" spans="1:11" ht="15.75">
      <c r="A53" s="4"/>
      <c r="B53" s="4"/>
      <c r="C53" s="4" t="s">
        <v>204</v>
      </c>
      <c r="D53" s="4"/>
      <c r="E53" s="4"/>
      <c r="F53" s="4">
        <f>Source!AO19</f>
        <v>481.74</v>
      </c>
      <c r="G53" s="20" t="str">
        <f>Source!DG19</f>
        <v>)*1.2</v>
      </c>
      <c r="H53" s="4">
        <f>Source!AV19</f>
        <v>1</v>
      </c>
      <c r="I53" s="4">
        <f>Source!BA19</f>
        <v>3.83</v>
      </c>
      <c r="J53" s="4">
        <f>Source!S19</f>
        <v>11070.39</v>
      </c>
      <c r="K53" s="4"/>
    </row>
    <row r="54" spans="1:11" ht="15.75">
      <c r="A54" s="4"/>
      <c r="B54" s="4"/>
      <c r="C54" s="4" t="s">
        <v>205</v>
      </c>
      <c r="D54" s="4"/>
      <c r="E54" s="4"/>
      <c r="F54" s="4">
        <f>Source!AL19</f>
        <v>59.01</v>
      </c>
      <c r="G54" s="20" t="str">
        <f>Source!DD19</f>
        <v>)*1.2</v>
      </c>
      <c r="H54" s="4">
        <f>Source!AW19</f>
        <v>1</v>
      </c>
      <c r="I54" s="4">
        <f>Source!BC19</f>
        <v>2.81</v>
      </c>
      <c r="J54" s="4">
        <f>Source!P19</f>
        <v>994.91</v>
      </c>
      <c r="K54" s="4"/>
    </row>
    <row r="55" spans="1:11" ht="15.75">
      <c r="A55" s="4"/>
      <c r="B55" s="4"/>
      <c r="C55" s="4" t="s">
        <v>206</v>
      </c>
      <c r="D55" s="4" t="s">
        <v>207</v>
      </c>
      <c r="E55" s="4">
        <f>IF(Source!AX19&lt;25,Source!AX19*100,Source!AX19)</f>
        <v>101</v>
      </c>
      <c r="F55" s="4"/>
      <c r="G55" s="4"/>
      <c r="H55" s="4"/>
      <c r="I55" s="4"/>
      <c r="J55" s="4">
        <f>Source!X19</f>
        <v>11181.09</v>
      </c>
      <c r="K55" s="4"/>
    </row>
    <row r="56" spans="1:11" ht="15.75">
      <c r="A56" s="4"/>
      <c r="B56" s="4"/>
      <c r="C56" s="4" t="s">
        <v>208</v>
      </c>
      <c r="D56" s="4" t="s">
        <v>207</v>
      </c>
      <c r="E56" s="4">
        <f>IF(Source!AY19&lt;25,Source!AY19*100,Source!AY19)</f>
        <v>57</v>
      </c>
      <c r="F56" s="4"/>
      <c r="G56" s="4"/>
      <c r="H56" s="4"/>
      <c r="I56" s="4"/>
      <c r="J56" s="4">
        <f>Source!Y19</f>
        <v>6310.12</v>
      </c>
      <c r="K56" s="4"/>
    </row>
    <row r="57" spans="1:11" ht="15.75">
      <c r="A57" s="21"/>
      <c r="B57" s="21"/>
      <c r="C57" s="21" t="s">
        <v>209</v>
      </c>
      <c r="D57" s="21" t="s">
        <v>210</v>
      </c>
      <c r="E57" s="21">
        <f>Source!AQ19</f>
        <v>42</v>
      </c>
      <c r="F57" s="21"/>
      <c r="G57" s="22" t="str">
        <f>Source!DI19</f>
        <v>)*1.2</v>
      </c>
      <c r="H57" s="21">
        <f>Source!AV19</f>
        <v>1</v>
      </c>
      <c r="I57" s="21"/>
      <c r="J57" s="21"/>
      <c r="K57" s="21">
        <f>Source!U19</f>
        <v>252</v>
      </c>
    </row>
    <row r="58" spans="10:11" ht="15.75">
      <c r="J58" s="23">
        <f>Source!S19+Source!Q19+SUM(J54:J56)</f>
        <v>29556.51</v>
      </c>
      <c r="K58" s="23">
        <f>IF(Source!I19&lt;&gt;0,ROUND(J58/Source!I19,2),0)</f>
        <v>5911.3</v>
      </c>
    </row>
    <row r="59" spans="1:11" ht="63">
      <c r="A59" s="16" t="str">
        <f>Source!E20</f>
        <v>6</v>
      </c>
      <c r="B59" s="16" t="str">
        <f>Source!F20</f>
        <v>14.1-19-2</v>
      </c>
      <c r="C59" s="17" t="str">
        <f>Source!G20</f>
        <v>ЭКСПЛУАТАЦИЯ В ТЕЧЕНИЕ ГОДА ВЫТЯЖНЫХ УСТАНОВОК ПРОИЗВОДИТЕЛЬНОСТЬЮ ПО ВОЗДУХУ ДО 5000 М3/Ч </v>
      </c>
      <c r="D59" s="18" t="str">
        <f>Source!H20</f>
        <v>установка</v>
      </c>
      <c r="E59" s="19">
        <f>ROUND(Source!I20,6)</f>
        <v>5</v>
      </c>
      <c r="F59" s="19"/>
      <c r="G59" s="19"/>
      <c r="H59" s="19"/>
      <c r="I59" s="19"/>
      <c r="J59" s="19"/>
      <c r="K59" s="19"/>
    </row>
    <row r="60" spans="1:11" ht="15.75">
      <c r="A60" s="4"/>
      <c r="B60" s="4"/>
      <c r="C60" s="4" t="s">
        <v>204</v>
      </c>
      <c r="D60" s="4"/>
      <c r="E60" s="4"/>
      <c r="F60" s="4">
        <f>Source!AO20</f>
        <v>481.74</v>
      </c>
      <c r="G60" s="20" t="str">
        <f>Source!DG20</f>
        <v>)*1.2)*0.4</v>
      </c>
      <c r="H60" s="4">
        <f>Source!AV20</f>
        <v>1</v>
      </c>
      <c r="I60" s="4">
        <f>Source!BA20</f>
        <v>3.83</v>
      </c>
      <c r="J60" s="4">
        <f>Source!S20</f>
        <v>4428.15</v>
      </c>
      <c r="K60" s="4"/>
    </row>
    <row r="61" spans="1:11" ht="15.75">
      <c r="A61" s="4"/>
      <c r="B61" s="4"/>
      <c r="C61" s="4" t="s">
        <v>205</v>
      </c>
      <c r="D61" s="4"/>
      <c r="E61" s="4"/>
      <c r="F61" s="4">
        <f>Source!AL20</f>
        <v>59.01</v>
      </c>
      <c r="G61" s="20" t="str">
        <f>Source!DD20</f>
        <v>)*1.2</v>
      </c>
      <c r="H61" s="4">
        <f>Source!AW20</f>
        <v>1</v>
      </c>
      <c r="I61" s="4">
        <f>Source!BC20</f>
        <v>2.81</v>
      </c>
      <c r="J61" s="4">
        <f>Source!P20</f>
        <v>994.91</v>
      </c>
      <c r="K61" s="4"/>
    </row>
    <row r="62" spans="1:11" ht="15.75">
      <c r="A62" s="4"/>
      <c r="B62" s="4"/>
      <c r="C62" s="4" t="s">
        <v>206</v>
      </c>
      <c r="D62" s="4" t="s">
        <v>207</v>
      </c>
      <c r="E62" s="4">
        <f>IF(Source!AX20&lt;25,Source!AX20*100,Source!AX20)</f>
        <v>101</v>
      </c>
      <c r="F62" s="4"/>
      <c r="G62" s="4"/>
      <c r="H62" s="4"/>
      <c r="I62" s="4"/>
      <c r="J62" s="4">
        <f>Source!X20</f>
        <v>4472.43</v>
      </c>
      <c r="K62" s="4"/>
    </row>
    <row r="63" spans="1:11" ht="15.75">
      <c r="A63" s="4"/>
      <c r="B63" s="4"/>
      <c r="C63" s="4" t="s">
        <v>208</v>
      </c>
      <c r="D63" s="4" t="s">
        <v>207</v>
      </c>
      <c r="E63" s="4">
        <f>IF(Source!AY20&lt;25,Source!AY20*100,Source!AY20)</f>
        <v>57</v>
      </c>
      <c r="F63" s="4"/>
      <c r="G63" s="4"/>
      <c r="H63" s="4"/>
      <c r="I63" s="4"/>
      <c r="J63" s="4">
        <f>Source!Y20</f>
        <v>2524.05</v>
      </c>
      <c r="K63" s="4"/>
    </row>
    <row r="64" spans="1:11" ht="15.75">
      <c r="A64" s="21"/>
      <c r="B64" s="21"/>
      <c r="C64" s="21" t="s">
        <v>209</v>
      </c>
      <c r="D64" s="21" t="s">
        <v>210</v>
      </c>
      <c r="E64" s="21">
        <f>Source!AQ20</f>
        <v>42</v>
      </c>
      <c r="F64" s="21"/>
      <c r="G64" s="22" t="str">
        <f>Source!DI20</f>
        <v>)*1.2)*0.4</v>
      </c>
      <c r="H64" s="21">
        <f>Source!AV20</f>
        <v>1</v>
      </c>
      <c r="I64" s="21"/>
      <c r="J64" s="21"/>
      <c r="K64" s="21">
        <f>Source!U20</f>
        <v>100.8</v>
      </c>
    </row>
    <row r="65" spans="10:11" ht="15.75">
      <c r="J65" s="23">
        <f>Source!S20+Source!Q20+SUM(J61:J63)</f>
        <v>12419.54</v>
      </c>
      <c r="K65" s="23">
        <f>IF(Source!I20&lt;&gt;0,ROUND(J65/Source!I20,2),0)</f>
        <v>2483.91</v>
      </c>
    </row>
    <row r="66" spans="1:11" ht="78.75">
      <c r="A66" s="16" t="str">
        <f>Source!E21</f>
        <v>7</v>
      </c>
      <c r="B66" s="16" t="str">
        <f>Source!F21</f>
        <v>14.1-19-3</v>
      </c>
      <c r="C66" s="17" t="str">
        <f>Source!G21</f>
        <v>ТЕХНИЧЕСКОЕ ОБСЛУЖИВАНИЕ В ТЕЧЕНИЕ ГОДА ВЫТЯЖНЫХ УСТАНОВОК ПРОИЗВОДИТЕЛЬНОСТЬЮ ПО ВОЗДУХУ ДО 10000 М3/Ч </v>
      </c>
      <c r="D66" s="18" t="str">
        <f>Source!H21</f>
        <v>установка</v>
      </c>
      <c r="E66" s="19">
        <f>ROUND(Source!I21,6)</f>
        <v>3</v>
      </c>
      <c r="F66" s="19"/>
      <c r="G66" s="19"/>
      <c r="H66" s="19"/>
      <c r="I66" s="19"/>
      <c r="J66" s="19"/>
      <c r="K66" s="19"/>
    </row>
    <row r="67" spans="1:11" ht="15.75">
      <c r="A67" s="4"/>
      <c r="B67" s="4"/>
      <c r="C67" s="4" t="s">
        <v>204</v>
      </c>
      <c r="D67" s="4"/>
      <c r="E67" s="4"/>
      <c r="F67" s="4">
        <f>Source!AO21</f>
        <v>602.18</v>
      </c>
      <c r="G67" s="20" t="str">
        <f>Source!DG21</f>
        <v>)*1.2</v>
      </c>
      <c r="H67" s="4">
        <f>Source!AV21</f>
        <v>1</v>
      </c>
      <c r="I67" s="4">
        <f>Source!BA21</f>
        <v>3.83</v>
      </c>
      <c r="J67" s="4">
        <f>Source!S21</f>
        <v>8302.86</v>
      </c>
      <c r="K67" s="4"/>
    </row>
    <row r="68" spans="1:11" ht="15.75">
      <c r="A68" s="4"/>
      <c r="B68" s="4"/>
      <c r="C68" s="4" t="s">
        <v>205</v>
      </c>
      <c r="D68" s="4"/>
      <c r="E68" s="4"/>
      <c r="F68" s="4">
        <f>Source!AL21</f>
        <v>73.09</v>
      </c>
      <c r="G68" s="20" t="str">
        <f>Source!DD21</f>
        <v>)*1.2</v>
      </c>
      <c r="H68" s="4">
        <f>Source!AW21</f>
        <v>1</v>
      </c>
      <c r="I68" s="4">
        <f>Source!BC21</f>
        <v>2.69</v>
      </c>
      <c r="J68" s="4">
        <f>Source!P21</f>
        <v>707.8</v>
      </c>
      <c r="K68" s="4"/>
    </row>
    <row r="69" spans="1:11" ht="15.75">
      <c r="A69" s="4"/>
      <c r="B69" s="4"/>
      <c r="C69" s="4" t="s">
        <v>206</v>
      </c>
      <c r="D69" s="4" t="s">
        <v>207</v>
      </c>
      <c r="E69" s="4">
        <f>IF(Source!AX21&lt;25,Source!AX21*100,Source!AX21)</f>
        <v>101</v>
      </c>
      <c r="F69" s="4"/>
      <c r="G69" s="4"/>
      <c r="H69" s="4"/>
      <c r="I69" s="4"/>
      <c r="J69" s="4">
        <f>Source!X21</f>
        <v>8385.89</v>
      </c>
      <c r="K69" s="4"/>
    </row>
    <row r="70" spans="1:11" ht="15.75">
      <c r="A70" s="4"/>
      <c r="B70" s="4"/>
      <c r="C70" s="4" t="s">
        <v>208</v>
      </c>
      <c r="D70" s="4" t="s">
        <v>207</v>
      </c>
      <c r="E70" s="4">
        <f>IF(Source!AY21&lt;25,Source!AY21*100,Source!AY21)</f>
        <v>57</v>
      </c>
      <c r="F70" s="4"/>
      <c r="G70" s="4"/>
      <c r="H70" s="4"/>
      <c r="I70" s="4"/>
      <c r="J70" s="4">
        <f>Source!Y21</f>
        <v>4732.63</v>
      </c>
      <c r="K70" s="4"/>
    </row>
    <row r="71" spans="1:11" ht="15.75">
      <c r="A71" s="21"/>
      <c r="B71" s="21"/>
      <c r="C71" s="21" t="s">
        <v>209</v>
      </c>
      <c r="D71" s="21" t="s">
        <v>210</v>
      </c>
      <c r="E71" s="21">
        <f>Source!AQ21</f>
        <v>52.5</v>
      </c>
      <c r="F71" s="21"/>
      <c r="G71" s="22" t="str">
        <f>Source!DI21</f>
        <v>)*1.2</v>
      </c>
      <c r="H71" s="21">
        <f>Source!AV21</f>
        <v>1</v>
      </c>
      <c r="I71" s="21"/>
      <c r="J71" s="21"/>
      <c r="K71" s="21">
        <f>Source!U21</f>
        <v>189</v>
      </c>
    </row>
    <row r="72" spans="10:11" ht="15.75">
      <c r="J72" s="23">
        <f>Source!S21+Source!Q21+SUM(J68:J70)</f>
        <v>22129.18</v>
      </c>
      <c r="K72" s="23">
        <f>IF(Source!I21&lt;&gt;0,ROUND(J72/Source!I21,2),0)</f>
        <v>7376.39</v>
      </c>
    </row>
    <row r="73" spans="1:11" ht="63">
      <c r="A73" s="16" t="str">
        <f>Source!E22</f>
        <v>8</v>
      </c>
      <c r="B73" s="16" t="str">
        <f>Source!F22</f>
        <v>14.1-19-3</v>
      </c>
      <c r="C73" s="17" t="str">
        <f>Source!G22</f>
        <v>ЭКСПЛУАТАЦИЯ В ТЕЧЕНИЕ ГОДА ВЫТЯЖНЫХ УСТАНОВОК ПРОИЗВОДИТЕЛЬНОСТЬЮ ПО ВОЗДУХУ ДО 10000 М3/Ч </v>
      </c>
      <c r="D73" s="18" t="str">
        <f>Source!H22</f>
        <v>установка</v>
      </c>
      <c r="E73" s="19">
        <f>ROUND(Source!I22,6)</f>
        <v>3</v>
      </c>
      <c r="F73" s="19"/>
      <c r="G73" s="19"/>
      <c r="H73" s="19"/>
      <c r="I73" s="19"/>
      <c r="J73" s="19"/>
      <c r="K73" s="19"/>
    </row>
    <row r="74" spans="1:11" ht="15.75">
      <c r="A74" s="4"/>
      <c r="B74" s="4"/>
      <c r="C74" s="4" t="s">
        <v>204</v>
      </c>
      <c r="D74" s="4"/>
      <c r="E74" s="4"/>
      <c r="F74" s="4">
        <f>Source!AO22</f>
        <v>602.18</v>
      </c>
      <c r="G74" s="20" t="str">
        <f>Source!DG22</f>
        <v>)*1.2)*0.4</v>
      </c>
      <c r="H74" s="4">
        <f>Source!AV22</f>
        <v>1</v>
      </c>
      <c r="I74" s="4">
        <f>Source!BA22</f>
        <v>3.83</v>
      </c>
      <c r="J74" s="4">
        <f>Source!S22</f>
        <v>3321.14</v>
      </c>
      <c r="K74" s="4"/>
    </row>
    <row r="75" spans="1:11" ht="15.75">
      <c r="A75" s="4"/>
      <c r="B75" s="4"/>
      <c r="C75" s="4" t="s">
        <v>205</v>
      </c>
      <c r="D75" s="4"/>
      <c r="E75" s="4"/>
      <c r="F75" s="4">
        <f>Source!AL22</f>
        <v>73.09</v>
      </c>
      <c r="G75" s="20" t="str">
        <f>Source!DD22</f>
        <v>)*1.2</v>
      </c>
      <c r="H75" s="4">
        <f>Source!AW22</f>
        <v>1</v>
      </c>
      <c r="I75" s="4">
        <f>Source!BC22</f>
        <v>2.69</v>
      </c>
      <c r="J75" s="4">
        <f>Source!P22</f>
        <v>707.8</v>
      </c>
      <c r="K75" s="4"/>
    </row>
    <row r="76" spans="1:11" ht="15.75">
      <c r="A76" s="4"/>
      <c r="B76" s="4"/>
      <c r="C76" s="4" t="s">
        <v>206</v>
      </c>
      <c r="D76" s="4" t="s">
        <v>207</v>
      </c>
      <c r="E76" s="4">
        <f>IF(Source!AX22&lt;25,Source!AX22*100,Source!AX22)</f>
        <v>101</v>
      </c>
      <c r="F76" s="4"/>
      <c r="G76" s="4"/>
      <c r="H76" s="4"/>
      <c r="I76" s="4"/>
      <c r="J76" s="4">
        <f>Source!X22</f>
        <v>3354.35</v>
      </c>
      <c r="K76" s="4"/>
    </row>
    <row r="77" spans="1:11" ht="15.75">
      <c r="A77" s="4"/>
      <c r="B77" s="4"/>
      <c r="C77" s="4" t="s">
        <v>208</v>
      </c>
      <c r="D77" s="4" t="s">
        <v>207</v>
      </c>
      <c r="E77" s="4">
        <f>IF(Source!AY22&lt;25,Source!AY22*100,Source!AY22)</f>
        <v>57</v>
      </c>
      <c r="F77" s="4"/>
      <c r="G77" s="4"/>
      <c r="H77" s="4"/>
      <c r="I77" s="4"/>
      <c r="J77" s="4">
        <f>Source!Y22</f>
        <v>1893.05</v>
      </c>
      <c r="K77" s="4"/>
    </row>
    <row r="78" spans="1:11" ht="15.75">
      <c r="A78" s="21"/>
      <c r="B78" s="21"/>
      <c r="C78" s="21" t="s">
        <v>209</v>
      </c>
      <c r="D78" s="21" t="s">
        <v>210</v>
      </c>
      <c r="E78" s="21">
        <f>Source!AQ22</f>
        <v>52.5</v>
      </c>
      <c r="F78" s="21"/>
      <c r="G78" s="22" t="str">
        <f>Source!DI22</f>
        <v>)*1.2)*0.4</v>
      </c>
      <c r="H78" s="21">
        <f>Source!AV22</f>
        <v>1</v>
      </c>
      <c r="I78" s="21"/>
      <c r="J78" s="21"/>
      <c r="K78" s="21">
        <f>Source!U22</f>
        <v>75.6</v>
      </c>
    </row>
    <row r="79" spans="10:11" ht="15.75">
      <c r="J79" s="23">
        <f>Source!S22+Source!Q22+SUM(J75:J77)</f>
        <v>9276.34</v>
      </c>
      <c r="K79" s="23">
        <f>IF(Source!I22&lt;&gt;0,ROUND(J79/Source!I22,2),0)</f>
        <v>3092.11</v>
      </c>
    </row>
    <row r="80" spans="1:11" ht="78.75">
      <c r="A80" s="16" t="str">
        <f>Source!E23</f>
        <v>9</v>
      </c>
      <c r="B80" s="16" t="str">
        <f>Source!F23</f>
        <v>14.1-15-1</v>
      </c>
      <c r="C80" s="17" t="str">
        <f>Source!G23</f>
        <v>ТЕХНИЧЕСКОЕ ОБСЛУЖИВАНИЕ В ТЕЧЕНИЕ ГОДА ПРИТОЧНЫХ УСТАНОВОК С АВТОМАТИКОЙ, ПРОИЗВОДИТЕЛЬНОСТЬЮ ПО ВОЗДУХУ ДО 5000 М3/Ч </v>
      </c>
      <c r="D80" s="18" t="str">
        <f>Source!H23</f>
        <v>установка</v>
      </c>
      <c r="E80" s="19">
        <f>ROUND(Source!I23,6)</f>
        <v>8</v>
      </c>
      <c r="F80" s="19"/>
      <c r="G80" s="19"/>
      <c r="H80" s="19"/>
      <c r="I80" s="19"/>
      <c r="J80" s="19"/>
      <c r="K80" s="19"/>
    </row>
    <row r="81" spans="1:11" ht="15.75">
      <c r="A81" s="4"/>
      <c r="B81" s="4"/>
      <c r="C81" s="4" t="s">
        <v>204</v>
      </c>
      <c r="D81" s="4"/>
      <c r="E81" s="4"/>
      <c r="F81" s="4">
        <f>Source!AO23</f>
        <v>1036.56</v>
      </c>
      <c r="G81" s="20" t="str">
        <f>Source!DG23</f>
        <v>)*1.2</v>
      </c>
      <c r="H81" s="4">
        <f>Source!AV23</f>
        <v>1</v>
      </c>
      <c r="I81" s="4">
        <f>Source!BA23</f>
        <v>3.83</v>
      </c>
      <c r="J81" s="4">
        <f>Source!S23</f>
        <v>38112.24</v>
      </c>
      <c r="K81" s="4"/>
    </row>
    <row r="82" spans="1:11" ht="15.75">
      <c r="A82" s="4"/>
      <c r="B82" s="4"/>
      <c r="C82" s="4" t="s">
        <v>205</v>
      </c>
      <c r="D82" s="4"/>
      <c r="E82" s="4"/>
      <c r="F82" s="4">
        <f>Source!AL23</f>
        <v>127.37</v>
      </c>
      <c r="G82" s="20" t="str">
        <f>Source!DD23</f>
        <v>)*1.2</v>
      </c>
      <c r="H82" s="4">
        <f>Source!AW23</f>
        <v>1</v>
      </c>
      <c r="I82" s="4">
        <f>Source!BC23</f>
        <v>3.81</v>
      </c>
      <c r="J82" s="4">
        <f>Source!P23</f>
        <v>4658.69</v>
      </c>
      <c r="K82" s="4"/>
    </row>
    <row r="83" spans="1:11" ht="15.75">
      <c r="A83" s="4"/>
      <c r="B83" s="4"/>
      <c r="C83" s="4" t="s">
        <v>206</v>
      </c>
      <c r="D83" s="4" t="s">
        <v>207</v>
      </c>
      <c r="E83" s="4">
        <f>IF(Source!AX23&lt;25,Source!AX23*100,Source!AX23)</f>
        <v>101</v>
      </c>
      <c r="F83" s="4"/>
      <c r="G83" s="4"/>
      <c r="H83" s="4"/>
      <c r="I83" s="4"/>
      <c r="J83" s="4">
        <f>Source!X23</f>
        <v>38493.36</v>
      </c>
      <c r="K83" s="4"/>
    </row>
    <row r="84" spans="1:11" ht="15.75">
      <c r="A84" s="4"/>
      <c r="B84" s="4"/>
      <c r="C84" s="4" t="s">
        <v>208</v>
      </c>
      <c r="D84" s="4" t="s">
        <v>207</v>
      </c>
      <c r="E84" s="4">
        <f>IF(Source!AY23&lt;25,Source!AY23*100,Source!AY23)</f>
        <v>57</v>
      </c>
      <c r="F84" s="4"/>
      <c r="G84" s="4"/>
      <c r="H84" s="4"/>
      <c r="I84" s="4"/>
      <c r="J84" s="4">
        <f>Source!Y23</f>
        <v>21723.98</v>
      </c>
      <c r="K84" s="4"/>
    </row>
    <row r="85" spans="1:11" ht="15.75">
      <c r="A85" s="21"/>
      <c r="B85" s="21"/>
      <c r="C85" s="21" t="s">
        <v>209</v>
      </c>
      <c r="D85" s="21" t="s">
        <v>210</v>
      </c>
      <c r="E85" s="21">
        <f>Source!AQ23</f>
        <v>84</v>
      </c>
      <c r="F85" s="21"/>
      <c r="G85" s="22" t="str">
        <f>Source!DI23</f>
        <v>)*1.2</v>
      </c>
      <c r="H85" s="21">
        <f>Source!AV23</f>
        <v>1</v>
      </c>
      <c r="I85" s="21"/>
      <c r="J85" s="21"/>
      <c r="K85" s="21">
        <f>Source!U23</f>
        <v>806.4</v>
      </c>
    </row>
    <row r="86" spans="10:11" ht="15.75">
      <c r="J86" s="23">
        <f>Source!S23+Source!Q23+SUM(J82:J84)</f>
        <v>102988.26999999999</v>
      </c>
      <c r="K86" s="23">
        <f>IF(Source!I23&lt;&gt;0,ROUND(J86/Source!I23,2),0)</f>
        <v>12873.53</v>
      </c>
    </row>
    <row r="87" spans="1:11" ht="78.75">
      <c r="A87" s="16" t="str">
        <f>Source!E24</f>
        <v>10</v>
      </c>
      <c r="B87" s="16" t="str">
        <f>Source!F24</f>
        <v>14.1-15-1</v>
      </c>
      <c r="C87" s="17" t="str">
        <f>Source!G24</f>
        <v>ЭКСПЛУАТАЦИЯ В ТЕЧЕНИЕ ГОДА ПРИТОЧНЫХ УСТАНОВОК С АВТОМАТИКОЙ, ПРОИЗВОДИТЕЛЬНОСТЬЮ ПО ВОЗДУХУ ДО 5000 М3/Ч </v>
      </c>
      <c r="D87" s="18" t="str">
        <f>Source!H24</f>
        <v>установка</v>
      </c>
      <c r="E87" s="19">
        <f>ROUND(Source!I24,6)</f>
        <v>8</v>
      </c>
      <c r="F87" s="19"/>
      <c r="G87" s="19"/>
      <c r="H87" s="19"/>
      <c r="I87" s="19"/>
      <c r="J87" s="19"/>
      <c r="K87" s="19"/>
    </row>
    <row r="88" spans="1:11" ht="15.75">
      <c r="A88" s="4"/>
      <c r="B88" s="4"/>
      <c r="C88" s="4" t="s">
        <v>204</v>
      </c>
      <c r="D88" s="4"/>
      <c r="E88" s="4"/>
      <c r="F88" s="4">
        <f>Source!AO24</f>
        <v>1036.56</v>
      </c>
      <c r="G88" s="20" t="str">
        <f>Source!DG24</f>
        <v>)*1.2)*0.4</v>
      </c>
      <c r="H88" s="4">
        <f>Source!AV24</f>
        <v>1</v>
      </c>
      <c r="I88" s="4">
        <f>Source!BA24</f>
        <v>3.83</v>
      </c>
      <c r="J88" s="4">
        <f>Source!S24</f>
        <v>15244.9</v>
      </c>
      <c r="K88" s="4"/>
    </row>
    <row r="89" spans="1:11" ht="15.75">
      <c r="A89" s="4"/>
      <c r="B89" s="4"/>
      <c r="C89" s="4" t="s">
        <v>205</v>
      </c>
      <c r="D89" s="4"/>
      <c r="E89" s="4"/>
      <c r="F89" s="4">
        <f>Source!AL24</f>
        <v>127.37</v>
      </c>
      <c r="G89" s="20" t="str">
        <f>Source!DD24</f>
        <v>)*1.2</v>
      </c>
      <c r="H89" s="4">
        <f>Source!AW24</f>
        <v>1</v>
      </c>
      <c r="I89" s="4">
        <f>Source!BC24</f>
        <v>3.81</v>
      </c>
      <c r="J89" s="4">
        <f>Source!P24</f>
        <v>4658.69</v>
      </c>
      <c r="K89" s="4"/>
    </row>
    <row r="90" spans="1:11" ht="15.75">
      <c r="A90" s="4"/>
      <c r="B90" s="4"/>
      <c r="C90" s="4" t="s">
        <v>206</v>
      </c>
      <c r="D90" s="4" t="s">
        <v>207</v>
      </c>
      <c r="E90" s="4">
        <f>IF(Source!AX24&lt;25,Source!AX24*100,Source!AX24)</f>
        <v>101</v>
      </c>
      <c r="F90" s="4"/>
      <c r="G90" s="4"/>
      <c r="H90" s="4"/>
      <c r="I90" s="4"/>
      <c r="J90" s="4">
        <f>Source!X24</f>
        <v>15397.35</v>
      </c>
      <c r="K90" s="4"/>
    </row>
    <row r="91" spans="1:11" ht="15.75">
      <c r="A91" s="4"/>
      <c r="B91" s="4"/>
      <c r="C91" s="4" t="s">
        <v>208</v>
      </c>
      <c r="D91" s="4" t="s">
        <v>207</v>
      </c>
      <c r="E91" s="4">
        <f>IF(Source!AY24&lt;25,Source!AY24*100,Source!AY24)</f>
        <v>57</v>
      </c>
      <c r="F91" s="4"/>
      <c r="G91" s="4"/>
      <c r="H91" s="4"/>
      <c r="I91" s="4"/>
      <c r="J91" s="4">
        <f>Source!Y24</f>
        <v>8689.59</v>
      </c>
      <c r="K91" s="4"/>
    </row>
    <row r="92" spans="1:11" ht="15.75">
      <c r="A92" s="21"/>
      <c r="B92" s="21"/>
      <c r="C92" s="21" t="s">
        <v>209</v>
      </c>
      <c r="D92" s="21" t="s">
        <v>210</v>
      </c>
      <c r="E92" s="21">
        <f>Source!AQ24</f>
        <v>84</v>
      </c>
      <c r="F92" s="21"/>
      <c r="G92" s="22" t="str">
        <f>Source!DI24</f>
        <v>)*1.2)*0.4</v>
      </c>
      <c r="H92" s="21">
        <f>Source!AV24</f>
        <v>1</v>
      </c>
      <c r="I92" s="21"/>
      <c r="J92" s="21"/>
      <c r="K92" s="21">
        <f>Source!U24</f>
        <v>322.56</v>
      </c>
    </row>
    <row r="93" spans="10:11" ht="15.75">
      <c r="J93" s="23">
        <f>Source!S24+Source!Q24+SUM(J89:J91)</f>
        <v>43990.53</v>
      </c>
      <c r="K93" s="23">
        <f>IF(Source!I24&lt;&gt;0,ROUND(J93/Source!I24,2),0)</f>
        <v>5498.82</v>
      </c>
    </row>
    <row r="94" spans="1:11" ht="78.75">
      <c r="A94" s="16" t="str">
        <f>Source!E25</f>
        <v>11</v>
      </c>
      <c r="B94" s="16" t="str">
        <f>Source!F25</f>
        <v>14.1-15-3</v>
      </c>
      <c r="C94" s="17" t="str">
        <f>Source!G25</f>
        <v>ТЕХНИЧЕСКОЕ ОБСЛУЖИВАНИЕ В ТЕЧЕНИЕ ГОДА ПРИТОЧНЫХ УСТАНОВОК С АВТОМАТИКОЙ, ПРОИЗВОДИТЕЛЬНОСТЬЮ ПО ВОЗДУХУ ДО 20000 М3/Ч </v>
      </c>
      <c r="D94" s="18" t="str">
        <f>Source!H25</f>
        <v>установка</v>
      </c>
      <c r="E94" s="19">
        <f>ROUND(Source!I25,6)</f>
        <v>4</v>
      </c>
      <c r="F94" s="19"/>
      <c r="G94" s="19"/>
      <c r="H94" s="19"/>
      <c r="I94" s="19"/>
      <c r="J94" s="19"/>
      <c r="K94" s="19"/>
    </row>
    <row r="95" spans="1:11" ht="15.75">
      <c r="A95" s="4"/>
      <c r="B95" s="4"/>
      <c r="C95" s="4" t="s">
        <v>204</v>
      </c>
      <c r="D95" s="4"/>
      <c r="E95" s="4"/>
      <c r="F95" s="4">
        <f>Source!AO25</f>
        <v>1369.74</v>
      </c>
      <c r="G95" s="20" t="str">
        <f>Source!DG25</f>
        <v>)*1.2</v>
      </c>
      <c r="H95" s="4">
        <f>Source!AV25</f>
        <v>1</v>
      </c>
      <c r="I95" s="4">
        <f>Source!BA25</f>
        <v>3.83</v>
      </c>
      <c r="J95" s="4">
        <f>Source!S25</f>
        <v>25181.3</v>
      </c>
      <c r="K95" s="4"/>
    </row>
    <row r="96" spans="1:11" ht="15.75">
      <c r="A96" s="4"/>
      <c r="B96" s="4"/>
      <c r="C96" s="4" t="s">
        <v>205</v>
      </c>
      <c r="D96" s="4"/>
      <c r="E96" s="4"/>
      <c r="F96" s="4">
        <f>Source!AL25</f>
        <v>188.6</v>
      </c>
      <c r="G96" s="20" t="str">
        <f>Source!DD25</f>
        <v>)*1.2</v>
      </c>
      <c r="H96" s="4">
        <f>Source!AW25</f>
        <v>1</v>
      </c>
      <c r="I96" s="4">
        <f>Source!BC25</f>
        <v>3.7</v>
      </c>
      <c r="J96" s="4">
        <f>Source!P25</f>
        <v>3349.54</v>
      </c>
      <c r="K96" s="4"/>
    </row>
    <row r="97" spans="1:11" ht="15.75">
      <c r="A97" s="4"/>
      <c r="B97" s="4"/>
      <c r="C97" s="4" t="s">
        <v>206</v>
      </c>
      <c r="D97" s="4" t="s">
        <v>207</v>
      </c>
      <c r="E97" s="4">
        <f>IF(Source!AX25&lt;25,Source!AX25*100,Source!AX25)</f>
        <v>101</v>
      </c>
      <c r="F97" s="4"/>
      <c r="G97" s="4"/>
      <c r="H97" s="4"/>
      <c r="I97" s="4"/>
      <c r="J97" s="4">
        <f>Source!X25</f>
        <v>25433.11</v>
      </c>
      <c r="K97" s="4"/>
    </row>
    <row r="98" spans="1:11" ht="15.75">
      <c r="A98" s="4"/>
      <c r="B98" s="4"/>
      <c r="C98" s="4" t="s">
        <v>208</v>
      </c>
      <c r="D98" s="4" t="s">
        <v>207</v>
      </c>
      <c r="E98" s="4">
        <f>IF(Source!AY25&lt;25,Source!AY25*100,Source!AY25)</f>
        <v>57</v>
      </c>
      <c r="F98" s="4"/>
      <c r="G98" s="4"/>
      <c r="H98" s="4"/>
      <c r="I98" s="4"/>
      <c r="J98" s="4">
        <f>Source!Y25</f>
        <v>14353.34</v>
      </c>
      <c r="K98" s="4"/>
    </row>
    <row r="99" spans="1:11" ht="15.75">
      <c r="A99" s="21"/>
      <c r="B99" s="21"/>
      <c r="C99" s="21" t="s">
        <v>209</v>
      </c>
      <c r="D99" s="21" t="s">
        <v>210</v>
      </c>
      <c r="E99" s="21">
        <f>Source!AQ25</f>
        <v>111</v>
      </c>
      <c r="F99" s="21"/>
      <c r="G99" s="22" t="str">
        <f>Source!DI25</f>
        <v>)*1.2</v>
      </c>
      <c r="H99" s="21">
        <f>Source!AV25</f>
        <v>1</v>
      </c>
      <c r="I99" s="21"/>
      <c r="J99" s="21"/>
      <c r="K99" s="21">
        <f>Source!U25</f>
        <v>532.8</v>
      </c>
    </row>
    <row r="100" spans="10:11" ht="15.75">
      <c r="J100" s="23">
        <f>Source!S25+Source!Q25+SUM(J96:J98)</f>
        <v>68317.29000000001</v>
      </c>
      <c r="K100" s="23">
        <f>IF(Source!I25&lt;&gt;0,ROUND(J100/Source!I25,2),0)</f>
        <v>17079.32</v>
      </c>
    </row>
    <row r="101" spans="1:11" ht="78.75">
      <c r="A101" s="16" t="str">
        <f>Source!E26</f>
        <v>12</v>
      </c>
      <c r="B101" s="16" t="str">
        <f>Source!F26</f>
        <v>14.1-15-3</v>
      </c>
      <c r="C101" s="17" t="str">
        <f>Source!G26</f>
        <v>ЭКСПЛУАТАЦИЯ В ТЕЧЕНИЕ ГОДА ПРИТОЧНЫХ УСТАНОВОК С АВТОМАТИКОЙ, ПРОИЗВОДИТЕЛЬНОСТЬЮ ПО ВОЗДУХУ ДО 20000 М3/Ч </v>
      </c>
      <c r="D101" s="18" t="str">
        <f>Source!H26</f>
        <v>установка</v>
      </c>
      <c r="E101" s="19">
        <f>ROUND(Source!I26,6)</f>
        <v>4</v>
      </c>
      <c r="F101" s="19"/>
      <c r="G101" s="19"/>
      <c r="H101" s="19"/>
      <c r="I101" s="19"/>
      <c r="J101" s="19"/>
      <c r="K101" s="19"/>
    </row>
    <row r="102" spans="1:11" ht="15.75">
      <c r="A102" s="4"/>
      <c r="B102" s="4"/>
      <c r="C102" s="4" t="s">
        <v>204</v>
      </c>
      <c r="D102" s="4"/>
      <c r="E102" s="4"/>
      <c r="F102" s="4">
        <f>Source!AO26</f>
        <v>1369.74</v>
      </c>
      <c r="G102" s="20" t="str">
        <f>Source!DG26</f>
        <v>)*1.2)*0.4</v>
      </c>
      <c r="H102" s="4">
        <f>Source!AV26</f>
        <v>1</v>
      </c>
      <c r="I102" s="4">
        <f>Source!BA26</f>
        <v>3.83</v>
      </c>
      <c r="J102" s="4">
        <f>Source!S26</f>
        <v>10072.52</v>
      </c>
      <c r="K102" s="4"/>
    </row>
    <row r="103" spans="1:11" ht="15.75">
      <c r="A103" s="4"/>
      <c r="B103" s="4"/>
      <c r="C103" s="4" t="s">
        <v>205</v>
      </c>
      <c r="D103" s="4"/>
      <c r="E103" s="4"/>
      <c r="F103" s="4">
        <f>Source!AL26</f>
        <v>188.6</v>
      </c>
      <c r="G103" s="20" t="str">
        <f>Source!DD26</f>
        <v>)*1.2</v>
      </c>
      <c r="H103" s="4">
        <f>Source!AW26</f>
        <v>1</v>
      </c>
      <c r="I103" s="4">
        <f>Source!BC26</f>
        <v>3.7</v>
      </c>
      <c r="J103" s="4">
        <f>Source!P26</f>
        <v>3349.54</v>
      </c>
      <c r="K103" s="4"/>
    </row>
    <row r="104" spans="1:11" ht="15.75">
      <c r="A104" s="4"/>
      <c r="B104" s="4"/>
      <c r="C104" s="4" t="s">
        <v>206</v>
      </c>
      <c r="D104" s="4" t="s">
        <v>207</v>
      </c>
      <c r="E104" s="4">
        <f>IF(Source!AX26&lt;25,Source!AX26*100,Source!AX26)</f>
        <v>101</v>
      </c>
      <c r="F104" s="4"/>
      <c r="G104" s="4"/>
      <c r="H104" s="4"/>
      <c r="I104" s="4"/>
      <c r="J104" s="4">
        <f>Source!X26</f>
        <v>10173.25</v>
      </c>
      <c r="K104" s="4"/>
    </row>
    <row r="105" spans="1:11" ht="15.75">
      <c r="A105" s="4"/>
      <c r="B105" s="4"/>
      <c r="C105" s="4" t="s">
        <v>208</v>
      </c>
      <c r="D105" s="4" t="s">
        <v>207</v>
      </c>
      <c r="E105" s="4">
        <f>IF(Source!AY26&lt;25,Source!AY26*100,Source!AY26)</f>
        <v>57</v>
      </c>
      <c r="F105" s="4"/>
      <c r="G105" s="4"/>
      <c r="H105" s="4"/>
      <c r="I105" s="4"/>
      <c r="J105" s="4">
        <f>Source!Y26</f>
        <v>5741.34</v>
      </c>
      <c r="K105" s="4"/>
    </row>
    <row r="106" spans="1:11" ht="15.75">
      <c r="A106" s="21"/>
      <c r="B106" s="21"/>
      <c r="C106" s="21" t="s">
        <v>209</v>
      </c>
      <c r="D106" s="21" t="s">
        <v>210</v>
      </c>
      <c r="E106" s="21">
        <f>Source!AQ26</f>
        <v>111</v>
      </c>
      <c r="F106" s="21"/>
      <c r="G106" s="22" t="str">
        <f>Source!DI26</f>
        <v>)*1.2)*0.4</v>
      </c>
      <c r="H106" s="21">
        <f>Source!AV26</f>
        <v>1</v>
      </c>
      <c r="I106" s="21"/>
      <c r="J106" s="21"/>
      <c r="K106" s="21">
        <f>Source!U26</f>
        <v>213.12</v>
      </c>
    </row>
    <row r="107" spans="10:11" ht="15.75">
      <c r="J107" s="23">
        <f>Source!S26+Source!Q26+SUM(J103:J105)</f>
        <v>29336.65</v>
      </c>
      <c r="K107" s="23">
        <f>IF(Source!I26&lt;&gt;0,ROUND(J107/Source!I26,2),0)</f>
        <v>7334.16</v>
      </c>
    </row>
    <row r="108" spans="1:11" ht="63">
      <c r="A108" s="16" t="str">
        <f>Source!E27</f>
        <v>13</v>
      </c>
      <c r="B108" s="16" t="str">
        <f>Source!F27</f>
        <v>14.1-22-1 прим.</v>
      </c>
      <c r="C108" s="17" t="str">
        <f>Source!G27</f>
        <v>ТЕХНИЧЕСКОЕ ОБСЛУЖИВАНИЕ В ТЕЧЕНИЕ ГОДА МЕСТНЫХ НЕАВТОНОМНЫХ КОНДИЦИОНЕРОВ   (К=1,1 Т.ч. п.1.9)</v>
      </c>
      <c r="D108" s="18" t="str">
        <f>Source!H27</f>
        <v>установка</v>
      </c>
      <c r="E108" s="19">
        <f>ROUND(Source!I27,6)</f>
        <v>136</v>
      </c>
      <c r="F108" s="19"/>
      <c r="G108" s="19"/>
      <c r="H108" s="19"/>
      <c r="I108" s="19"/>
      <c r="J108" s="19"/>
      <c r="K108" s="19"/>
    </row>
    <row r="109" spans="1:11" ht="15.75">
      <c r="A109" s="4"/>
      <c r="B109" s="4"/>
      <c r="C109" s="4" t="s">
        <v>204</v>
      </c>
      <c r="D109" s="4"/>
      <c r="E109" s="4"/>
      <c r="F109" s="4">
        <f>Source!AO27</f>
        <v>601.02</v>
      </c>
      <c r="G109" s="20" t="str">
        <f>Source!DG27</f>
        <v>)*1.2)*1.1</v>
      </c>
      <c r="H109" s="4">
        <f>Source!AV27</f>
        <v>1</v>
      </c>
      <c r="I109" s="4">
        <f>Source!BA27</f>
        <v>3.83</v>
      </c>
      <c r="J109" s="4">
        <f>Source!S27</f>
        <v>413238.27</v>
      </c>
      <c r="K109" s="4"/>
    </row>
    <row r="110" spans="1:11" ht="15.75">
      <c r="A110" s="4"/>
      <c r="B110" s="4"/>
      <c r="C110" s="4" t="s">
        <v>205</v>
      </c>
      <c r="D110" s="4"/>
      <c r="E110" s="4"/>
      <c r="F110" s="4">
        <f>Source!AL27</f>
        <v>55.16</v>
      </c>
      <c r="G110" s="20" t="str">
        <f>Source!DD27</f>
        <v>)*1.2</v>
      </c>
      <c r="H110" s="4">
        <f>Source!AW27</f>
        <v>1</v>
      </c>
      <c r="I110" s="4">
        <f>Source!BC27</f>
        <v>2.41</v>
      </c>
      <c r="J110" s="4">
        <f>Source!P27</f>
        <v>21695.09</v>
      </c>
      <c r="K110" s="4"/>
    </row>
    <row r="111" spans="1:11" ht="15.75">
      <c r="A111" s="4"/>
      <c r="B111" s="4"/>
      <c r="C111" s="4" t="s">
        <v>206</v>
      </c>
      <c r="D111" s="4" t="s">
        <v>207</v>
      </c>
      <c r="E111" s="4">
        <f>IF(Source!AX27&lt;25,Source!AX27*100,Source!AX27)</f>
        <v>101</v>
      </c>
      <c r="F111" s="4"/>
      <c r="G111" s="4"/>
      <c r="H111" s="4"/>
      <c r="I111" s="4"/>
      <c r="J111" s="4">
        <f>Source!X27</f>
        <v>417370.65</v>
      </c>
      <c r="K111" s="4"/>
    </row>
    <row r="112" spans="1:11" ht="15.75">
      <c r="A112" s="4"/>
      <c r="B112" s="4"/>
      <c r="C112" s="4" t="s">
        <v>208</v>
      </c>
      <c r="D112" s="4" t="s">
        <v>207</v>
      </c>
      <c r="E112" s="4">
        <f>IF(Source!AY27&lt;25,Source!AY27*100,Source!AY27)</f>
        <v>57</v>
      </c>
      <c r="F112" s="4"/>
      <c r="G112" s="4"/>
      <c r="H112" s="4"/>
      <c r="I112" s="4"/>
      <c r="J112" s="4">
        <f>Source!Y27</f>
        <v>235545.81</v>
      </c>
      <c r="K112" s="4"/>
    </row>
    <row r="113" spans="1:11" ht="15.75">
      <c r="A113" s="21"/>
      <c r="B113" s="21"/>
      <c r="C113" s="21" t="s">
        <v>209</v>
      </c>
      <c r="D113" s="21" t="s">
        <v>210</v>
      </c>
      <c r="E113" s="21">
        <f>Source!AQ27</f>
        <v>42</v>
      </c>
      <c r="F113" s="21"/>
      <c r="G113" s="22" t="str">
        <f>Source!DI27</f>
        <v>)*1.2)*1.1</v>
      </c>
      <c r="H113" s="21">
        <f>Source!AV27</f>
        <v>1</v>
      </c>
      <c r="I113" s="21"/>
      <c r="J113" s="21"/>
      <c r="K113" s="21">
        <f>Source!U27</f>
        <v>7539.84</v>
      </c>
    </row>
    <row r="114" spans="10:11" ht="15.75">
      <c r="J114" s="23">
        <f>Source!S27+Source!Q27+SUM(J110:J112)</f>
        <v>1087849.82</v>
      </c>
      <c r="K114" s="23">
        <f>IF(Source!I27&lt;&gt;0,ROUND(J114/Source!I27,2),0)</f>
        <v>7998.9</v>
      </c>
    </row>
    <row r="115" spans="1:11" ht="47.25">
      <c r="A115" s="16" t="str">
        <f>Source!E28</f>
        <v>14</v>
      </c>
      <c r="B115" s="16" t="str">
        <f>Source!F28</f>
        <v>14.1-22-1 прим.</v>
      </c>
      <c r="C115" s="17" t="str">
        <f>Source!G28</f>
        <v>ЭКСПЛУАТАЦИЯ В ТЕЧЕНИЕ ГОДА МЕСТНЫХ НЕАВТОНОМНЫХ КОНДИЦИОНЕРОВ </v>
      </c>
      <c r="D115" s="18" t="str">
        <f>Source!H28</f>
        <v>установка</v>
      </c>
      <c r="E115" s="19">
        <f>ROUND(Source!I28,6)</f>
        <v>136</v>
      </c>
      <c r="F115" s="19"/>
      <c r="G115" s="19"/>
      <c r="H115" s="19"/>
      <c r="I115" s="19"/>
      <c r="J115" s="19"/>
      <c r="K115" s="19"/>
    </row>
    <row r="116" spans="1:11" ht="15.75">
      <c r="A116" s="4"/>
      <c r="B116" s="4"/>
      <c r="C116" s="4" t="s">
        <v>204</v>
      </c>
      <c r="D116" s="4"/>
      <c r="E116" s="4"/>
      <c r="F116" s="4">
        <f>Source!AO28</f>
        <v>601.02</v>
      </c>
      <c r="G116" s="20" t="str">
        <f>Source!DG28</f>
        <v>)*1.2)*1.1)*0.4</v>
      </c>
      <c r="H116" s="4">
        <f>Source!AV28</f>
        <v>1</v>
      </c>
      <c r="I116" s="4">
        <f>Source!BA28</f>
        <v>3.83</v>
      </c>
      <c r="J116" s="4">
        <f>Source!S28</f>
        <v>165295.31</v>
      </c>
      <c r="K116" s="4"/>
    </row>
    <row r="117" spans="1:11" ht="15.75">
      <c r="A117" s="4"/>
      <c r="B117" s="4"/>
      <c r="C117" s="4" t="s">
        <v>205</v>
      </c>
      <c r="D117" s="4"/>
      <c r="E117" s="4"/>
      <c r="F117" s="4">
        <f>Source!AL28</f>
        <v>55.16</v>
      </c>
      <c r="G117" s="20" t="str">
        <f>Source!DD28</f>
        <v>)*1.2</v>
      </c>
      <c r="H117" s="4">
        <f>Source!AW28</f>
        <v>1</v>
      </c>
      <c r="I117" s="4">
        <f>Source!BC28</f>
        <v>2.41</v>
      </c>
      <c r="J117" s="4">
        <f>Source!P28</f>
        <v>21695.09</v>
      </c>
      <c r="K117" s="4"/>
    </row>
    <row r="118" spans="1:11" ht="15.75">
      <c r="A118" s="4"/>
      <c r="B118" s="4"/>
      <c r="C118" s="4" t="s">
        <v>206</v>
      </c>
      <c r="D118" s="4" t="s">
        <v>207</v>
      </c>
      <c r="E118" s="4">
        <f>IF(Source!AX28&lt;25,Source!AX28*100,Source!AX28)</f>
        <v>101</v>
      </c>
      <c r="F118" s="4"/>
      <c r="G118" s="4"/>
      <c r="H118" s="4"/>
      <c r="I118" s="4"/>
      <c r="J118" s="4">
        <f>Source!X28</f>
        <v>166948.26</v>
      </c>
      <c r="K118" s="4"/>
    </row>
    <row r="119" spans="1:11" ht="15.75">
      <c r="A119" s="4"/>
      <c r="B119" s="4"/>
      <c r="C119" s="4" t="s">
        <v>208</v>
      </c>
      <c r="D119" s="4" t="s">
        <v>207</v>
      </c>
      <c r="E119" s="4">
        <f>IF(Source!AY28&lt;25,Source!AY28*100,Source!AY28)</f>
        <v>57</v>
      </c>
      <c r="F119" s="4"/>
      <c r="G119" s="4"/>
      <c r="H119" s="4"/>
      <c r="I119" s="4"/>
      <c r="J119" s="4">
        <f>Source!Y28</f>
        <v>94218.33</v>
      </c>
      <c r="K119" s="4"/>
    </row>
    <row r="120" spans="1:11" ht="15.75">
      <c r="A120" s="21"/>
      <c r="B120" s="21"/>
      <c r="C120" s="21" t="s">
        <v>209</v>
      </c>
      <c r="D120" s="21" t="s">
        <v>210</v>
      </c>
      <c r="E120" s="21">
        <f>Source!AQ28</f>
        <v>42</v>
      </c>
      <c r="F120" s="21"/>
      <c r="G120" s="22" t="str">
        <f>Source!DI28</f>
        <v>)*1.2)*1.1)*0.4</v>
      </c>
      <c r="H120" s="21">
        <f>Source!AV28</f>
        <v>1</v>
      </c>
      <c r="I120" s="21"/>
      <c r="J120" s="21"/>
      <c r="K120" s="21">
        <f>Source!U28</f>
        <v>3015.94</v>
      </c>
    </row>
    <row r="121" spans="10:11" ht="15.75">
      <c r="J121" s="23">
        <f>Source!S28+Source!Q28+SUM(J117:J119)</f>
        <v>448156.99</v>
      </c>
      <c r="K121" s="23">
        <f>IF(Source!I28&lt;&gt;0,ROUND(J121/Source!I28,2),0)</f>
        <v>3295.27</v>
      </c>
    </row>
    <row r="123" spans="3:10" s="24" customFormat="1" ht="15.75">
      <c r="C123" s="24" t="s">
        <v>211</v>
      </c>
      <c r="I123" s="33">
        <f>ROUND(Source!AB14+Source!AK14+Source!AL14+Source!AE14*185/100,2)</f>
        <v>2061702.08</v>
      </c>
      <c r="J123" s="33"/>
    </row>
    <row r="125" spans="3:11" ht="15.75">
      <c r="C125" s="24"/>
      <c r="D125" s="34"/>
      <c r="E125" s="35"/>
      <c r="F125" s="35"/>
      <c r="G125" s="35"/>
      <c r="H125" s="35"/>
      <c r="I125" s="35"/>
      <c r="J125" s="35"/>
      <c r="K125" s="35"/>
    </row>
    <row r="126" spans="3:11" ht="18.75">
      <c r="C126" s="40" t="str">
        <f>Source!E34</f>
        <v>Итого</v>
      </c>
      <c r="D126" s="40"/>
      <c r="E126" s="40"/>
      <c r="F126" s="40"/>
      <c r="G126" s="40"/>
      <c r="H126" s="40"/>
      <c r="I126" s="40"/>
      <c r="J126" s="25">
        <f>Source!G34</f>
        <v>2061702.08</v>
      </c>
      <c r="K126" s="4"/>
    </row>
    <row r="127" spans="3:11" ht="18.75">
      <c r="C127" s="40" t="str">
        <f>Source!E35</f>
        <v>НДС 18%</v>
      </c>
      <c r="D127" s="40"/>
      <c r="E127" s="40"/>
      <c r="F127" s="40"/>
      <c r="G127" s="40"/>
      <c r="H127" s="40"/>
      <c r="I127" s="40"/>
      <c r="J127" s="25">
        <f>Source!G35</f>
        <v>371106.3744</v>
      </c>
      <c r="K127" s="4"/>
    </row>
    <row r="128" spans="3:11" ht="18.75">
      <c r="C128" s="40" t="str">
        <f>Source!E36</f>
        <v>ВСЕГО В ГОД</v>
      </c>
      <c r="D128" s="40"/>
      <c r="E128" s="40"/>
      <c r="F128" s="40"/>
      <c r="G128" s="40"/>
      <c r="H128" s="40"/>
      <c r="I128" s="40"/>
      <c r="J128" s="25">
        <f>Source!G36</f>
        <v>2432808.4544</v>
      </c>
      <c r="K128" s="4"/>
    </row>
    <row r="129" spans="3:11" ht="18.75">
      <c r="C129" s="40" t="str">
        <f>Source!E37</f>
        <v>Итого за 6 месяцев</v>
      </c>
      <c r="D129" s="40"/>
      <c r="E129" s="40"/>
      <c r="F129" s="40"/>
      <c r="G129" s="40"/>
      <c r="H129" s="40"/>
      <c r="I129" s="40"/>
      <c r="J129" s="25">
        <f>Source!G37</f>
        <v>1030851.04</v>
      </c>
      <c r="K129" s="4"/>
    </row>
    <row r="130" spans="3:11" ht="18.75">
      <c r="C130" s="40" t="str">
        <f>Source!E38</f>
        <v>НДС 18%</v>
      </c>
      <c r="D130" s="40"/>
      <c r="E130" s="40"/>
      <c r="F130" s="40"/>
      <c r="G130" s="40"/>
      <c r="H130" s="40"/>
      <c r="I130" s="40"/>
      <c r="J130" s="25">
        <f>Source!G38</f>
        <v>185553.1872</v>
      </c>
      <c r="K130" s="4"/>
    </row>
    <row r="131" spans="3:11" ht="18.75">
      <c r="C131" s="40" t="str">
        <f>Source!E39</f>
        <v>ВСЕГО ЗА 6 МЕСЯЦЕВ</v>
      </c>
      <c r="D131" s="40"/>
      <c r="E131" s="40"/>
      <c r="F131" s="40"/>
      <c r="G131" s="40"/>
      <c r="H131" s="40"/>
      <c r="I131" s="40"/>
      <c r="J131" s="25">
        <f>Source!G39</f>
        <v>1216404.2272</v>
      </c>
      <c r="K131" s="4"/>
    </row>
    <row r="136" spans="1:3" ht="12.75">
      <c r="A136" s="28"/>
      <c r="B136" s="28"/>
      <c r="C136" s="28"/>
    </row>
    <row r="137" spans="1:3" ht="12.75">
      <c r="A137" s="28" t="s">
        <v>217</v>
      </c>
      <c r="B137" s="28"/>
      <c r="C137" s="28"/>
    </row>
    <row r="138" spans="1:3" ht="12.75">
      <c r="A138" s="28"/>
      <c r="B138" s="28"/>
      <c r="C138" s="28"/>
    </row>
    <row r="139" spans="1:3" ht="12.75">
      <c r="A139" s="28"/>
      <c r="B139" s="28"/>
      <c r="C139" s="28"/>
    </row>
    <row r="140" spans="1:3" ht="12.75">
      <c r="A140" s="28"/>
      <c r="B140" s="28"/>
      <c r="C140" s="28"/>
    </row>
    <row r="141" spans="1:3" ht="12.75">
      <c r="A141" s="28" t="s">
        <v>218</v>
      </c>
      <c r="B141" s="28"/>
      <c r="C141" s="28"/>
    </row>
  </sheetData>
  <mergeCells count="12">
    <mergeCell ref="C130:I130"/>
    <mergeCell ref="C131:I131"/>
    <mergeCell ref="C126:I126"/>
    <mergeCell ref="C127:I127"/>
    <mergeCell ref="C128:I128"/>
    <mergeCell ref="C129:I129"/>
    <mergeCell ref="A11:K11"/>
    <mergeCell ref="D22:K22"/>
    <mergeCell ref="I123:J123"/>
    <mergeCell ref="D125:K125"/>
    <mergeCell ref="B12:K12"/>
    <mergeCell ref="G15:I15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scale="6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Q42"/>
  <sheetViews>
    <sheetView workbookViewId="0" topLeftCell="A1">
      <selection activeCell="F10" sqref="F10"/>
    </sheetView>
  </sheetViews>
  <sheetFormatPr defaultColWidth="9.140625" defaultRowHeight="12.75"/>
  <sheetData>
    <row r="1" spans="1:4" ht="12.75" customHeight="1">
      <c r="A1">
        <v>0</v>
      </c>
      <c r="B1" t="s">
        <v>0</v>
      </c>
      <c r="D1" t="s">
        <v>2</v>
      </c>
    </row>
    <row r="2" spans="2:115" ht="12.75" customHeight="1">
      <c r="B2" t="s">
        <v>3</v>
      </c>
      <c r="C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  <c r="P2" t="s">
        <v>16</v>
      </c>
      <c r="Q2" t="s">
        <v>17</v>
      </c>
      <c r="R2" t="s">
        <v>18</v>
      </c>
      <c r="S2" t="s">
        <v>19</v>
      </c>
      <c r="T2" t="s">
        <v>20</v>
      </c>
      <c r="U2" t="s">
        <v>21</v>
      </c>
      <c r="V2" t="s">
        <v>22</v>
      </c>
      <c r="W2" t="s">
        <v>23</v>
      </c>
      <c r="X2" t="s">
        <v>24</v>
      </c>
      <c r="Y2" t="s">
        <v>25</v>
      </c>
      <c r="AB2" t="s">
        <v>26</v>
      </c>
      <c r="AC2" t="s">
        <v>27</v>
      </c>
      <c r="AD2" t="s">
        <v>28</v>
      </c>
      <c r="AE2" t="s">
        <v>29</v>
      </c>
      <c r="AF2" t="s">
        <v>30</v>
      </c>
      <c r="AG2" t="s">
        <v>31</v>
      </c>
      <c r="AH2" t="s">
        <v>32</v>
      </c>
      <c r="AI2" t="s">
        <v>33</v>
      </c>
      <c r="AJ2" t="s">
        <v>34</v>
      </c>
      <c r="AK2" t="s">
        <v>35</v>
      </c>
      <c r="AL2" t="s">
        <v>36</v>
      </c>
      <c r="AM2" t="s">
        <v>37</v>
      </c>
      <c r="AN2" t="s">
        <v>38</v>
      </c>
      <c r="AO2" t="s">
        <v>39</v>
      </c>
      <c r="AP2" t="s">
        <v>40</v>
      </c>
      <c r="AQ2" t="s">
        <v>41</v>
      </c>
      <c r="AR2" t="s">
        <v>42</v>
      </c>
      <c r="AS2" t="s">
        <v>43</v>
      </c>
      <c r="AT2" t="s">
        <v>44</v>
      </c>
      <c r="AU2" t="s">
        <v>45</v>
      </c>
      <c r="AV2" t="s">
        <v>46</v>
      </c>
      <c r="AW2" t="s">
        <v>47</v>
      </c>
      <c r="AX2" t="s">
        <v>48</v>
      </c>
      <c r="AY2" t="s">
        <v>49</v>
      </c>
      <c r="AZ2" t="s">
        <v>50</v>
      </c>
      <c r="BA2" t="s">
        <v>51</v>
      </c>
      <c r="BB2" t="s">
        <v>52</v>
      </c>
      <c r="BC2" t="s">
        <v>53</v>
      </c>
      <c r="BD2" t="s">
        <v>54</v>
      </c>
      <c r="BE2" t="s">
        <v>55</v>
      </c>
      <c r="BF2" t="s">
        <v>56</v>
      </c>
      <c r="BG2" t="s">
        <v>57</v>
      </c>
      <c r="BH2" t="s">
        <v>58</v>
      </c>
      <c r="BJ2" t="s">
        <v>59</v>
      </c>
      <c r="BK2" t="s">
        <v>60</v>
      </c>
      <c r="BL2" t="s">
        <v>61</v>
      </c>
      <c r="BM2" t="s">
        <v>62</v>
      </c>
      <c r="BN2" t="s">
        <v>63</v>
      </c>
      <c r="BO2" t="s">
        <v>64</v>
      </c>
      <c r="BP2" t="s">
        <v>65</v>
      </c>
      <c r="BQ2" t="s">
        <v>66</v>
      </c>
      <c r="BR2" t="s">
        <v>67</v>
      </c>
      <c r="BS2" t="s">
        <v>68</v>
      </c>
      <c r="BT2" t="s">
        <v>69</v>
      </c>
      <c r="BU2" t="s">
        <v>70</v>
      </c>
      <c r="BV2" t="s">
        <v>71</v>
      </c>
      <c r="CA2" t="s">
        <v>72</v>
      </c>
      <c r="CE2" t="s">
        <v>73</v>
      </c>
      <c r="CF2" t="s">
        <v>74</v>
      </c>
      <c r="CG2" t="s">
        <v>75</v>
      </c>
      <c r="CH2" t="s">
        <v>76</v>
      </c>
      <c r="CI2" t="s">
        <v>77</v>
      </c>
      <c r="CJ2" t="s">
        <v>78</v>
      </c>
      <c r="CO2" t="s">
        <v>79</v>
      </c>
      <c r="CP2" t="s">
        <v>80</v>
      </c>
      <c r="CR2" t="s">
        <v>81</v>
      </c>
      <c r="CS2" t="s">
        <v>82</v>
      </c>
      <c r="DB2" t="s">
        <v>83</v>
      </c>
      <c r="DC2" t="s">
        <v>84</v>
      </c>
      <c r="DD2" t="s">
        <v>85</v>
      </c>
      <c r="DE2" t="s">
        <v>86</v>
      </c>
      <c r="DF2" t="s">
        <v>87</v>
      </c>
      <c r="DG2" t="s">
        <v>88</v>
      </c>
      <c r="DH2" t="s">
        <v>89</v>
      </c>
      <c r="DI2" t="s">
        <v>90</v>
      </c>
      <c r="DJ2" t="s">
        <v>91</v>
      </c>
      <c r="DK2" t="s">
        <v>92</v>
      </c>
    </row>
    <row r="9" spans="1:94" ht="12.75" customHeight="1">
      <c r="A9" s="1">
        <v>10</v>
      </c>
      <c r="B9" s="1">
        <v>0</v>
      </c>
      <c r="C9" s="1">
        <v>1</v>
      </c>
      <c r="D9" s="1">
        <f>ROW(A41)</f>
        <v>41</v>
      </c>
      <c r="E9" s="1" t="s">
        <v>93</v>
      </c>
      <c r="F9" s="1" t="s">
        <v>219</v>
      </c>
      <c r="G9" s="1">
        <v>0</v>
      </c>
      <c r="H9" s="1" t="s">
        <v>1</v>
      </c>
      <c r="I9" s="1" t="s">
        <v>94</v>
      </c>
      <c r="J9" s="1" t="s">
        <v>1</v>
      </c>
      <c r="K9" s="1" t="s">
        <v>1</v>
      </c>
      <c r="L9" s="1" t="s">
        <v>1</v>
      </c>
      <c r="M9" s="1" t="s">
        <v>1</v>
      </c>
      <c r="N9" s="1" t="s">
        <v>1</v>
      </c>
      <c r="O9" s="1" t="s">
        <v>95</v>
      </c>
      <c r="P9" s="1">
        <v>2004</v>
      </c>
      <c r="Q9" s="1">
        <v>9</v>
      </c>
      <c r="R9" s="1"/>
      <c r="S9" s="1"/>
      <c r="T9" s="1"/>
      <c r="U9" s="1"/>
      <c r="V9" s="1">
        <v>0</v>
      </c>
      <c r="W9" s="1" t="s">
        <v>1</v>
      </c>
      <c r="X9" s="1" t="s">
        <v>1</v>
      </c>
      <c r="Y9" s="1">
        <v>2</v>
      </c>
      <c r="Z9" s="1">
        <v>2</v>
      </c>
      <c r="AA9" s="1">
        <v>1</v>
      </c>
      <c r="AB9" s="1">
        <v>1</v>
      </c>
      <c r="AC9" s="1" t="s">
        <v>96</v>
      </c>
      <c r="AD9" s="1">
        <v>1</v>
      </c>
      <c r="AE9" s="1" t="s">
        <v>94</v>
      </c>
      <c r="AF9" s="1">
        <v>0</v>
      </c>
      <c r="AG9" s="1">
        <v>1</v>
      </c>
      <c r="AH9" s="1">
        <v>0</v>
      </c>
      <c r="AI9" s="1">
        <v>0</v>
      </c>
      <c r="AJ9" s="1">
        <v>0</v>
      </c>
      <c r="AK9" s="1">
        <v>1</v>
      </c>
      <c r="AL9" s="1">
        <v>0</v>
      </c>
      <c r="AM9" s="1">
        <v>0</v>
      </c>
      <c r="AN9" s="1">
        <v>0</v>
      </c>
      <c r="AO9" s="1">
        <v>1</v>
      </c>
      <c r="AP9" s="1">
        <v>1</v>
      </c>
      <c r="AQ9" s="1">
        <v>49</v>
      </c>
      <c r="AR9" s="1">
        <v>166</v>
      </c>
      <c r="AS9" s="1">
        <v>0</v>
      </c>
      <c r="AT9" s="1">
        <v>0</v>
      </c>
      <c r="AU9" s="1">
        <v>0</v>
      </c>
      <c r="AV9" s="1">
        <v>0</v>
      </c>
      <c r="AW9" s="1">
        <v>129</v>
      </c>
      <c r="AX9" s="1"/>
      <c r="AY9" s="1"/>
      <c r="AZ9" s="1"/>
      <c r="BA9" s="1">
        <v>193</v>
      </c>
      <c r="BB9" s="1">
        <v>111</v>
      </c>
      <c r="BC9" s="1">
        <v>82</v>
      </c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 t="s">
        <v>97</v>
      </c>
    </row>
    <row r="10" spans="1:100" ht="12.75" customHeight="1">
      <c r="A10" s="2">
        <v>52</v>
      </c>
      <c r="B10" s="2">
        <v>0</v>
      </c>
      <c r="C10" s="2">
        <f>C9</f>
        <v>1</v>
      </c>
      <c r="D10" s="2">
        <f>ROW(A9)</f>
        <v>9</v>
      </c>
      <c r="E10" s="2" t="str">
        <f>E9</f>
        <v>марков алеш.6мес - 1216404,23</v>
      </c>
      <c r="F10" s="2"/>
      <c r="G10" s="2"/>
      <c r="H10" s="2"/>
      <c r="I10" s="2"/>
      <c r="J10" s="2"/>
      <c r="K10" s="2"/>
      <c r="L10" s="2"/>
      <c r="M10" s="2"/>
      <c r="N10" s="2"/>
      <c r="O10" s="2">
        <f aca="true" t="shared" si="0" ref="O10:Y10">O41</f>
        <v>842049.39</v>
      </c>
      <c r="P10" s="2">
        <f t="shared" si="0"/>
        <v>70117.3</v>
      </c>
      <c r="Q10" s="2">
        <f t="shared" si="0"/>
        <v>0</v>
      </c>
      <c r="R10" s="2">
        <f t="shared" si="0"/>
        <v>0</v>
      </c>
      <c r="S10" s="2">
        <f t="shared" si="0"/>
        <v>771932.09</v>
      </c>
      <c r="T10" s="2">
        <f t="shared" si="0"/>
        <v>0</v>
      </c>
      <c r="U10" s="2">
        <f t="shared" si="0"/>
        <v>14561.4</v>
      </c>
      <c r="V10" s="2">
        <f t="shared" si="0"/>
        <v>0</v>
      </c>
      <c r="W10" s="2">
        <f t="shared" si="0"/>
        <v>0</v>
      </c>
      <c r="X10" s="2">
        <f t="shared" si="0"/>
        <v>779651.4</v>
      </c>
      <c r="Y10" s="2">
        <f t="shared" si="0"/>
        <v>440001.29</v>
      </c>
      <c r="Z10" s="2"/>
      <c r="AA10" s="2"/>
      <c r="AB10" s="2">
        <f aca="true" t="shared" si="1" ref="AB10:AL10">AB41</f>
        <v>0</v>
      </c>
      <c r="AC10" s="2">
        <f t="shared" si="1"/>
        <v>0</v>
      </c>
      <c r="AD10" s="2">
        <f t="shared" si="1"/>
        <v>0</v>
      </c>
      <c r="AE10" s="2">
        <f t="shared" si="1"/>
        <v>0</v>
      </c>
      <c r="AF10" s="2">
        <f t="shared" si="1"/>
        <v>0</v>
      </c>
      <c r="AG10" s="2">
        <f t="shared" si="1"/>
        <v>0</v>
      </c>
      <c r="AH10" s="2">
        <f t="shared" si="1"/>
        <v>0</v>
      </c>
      <c r="AI10" s="2">
        <f t="shared" si="1"/>
        <v>0</v>
      </c>
      <c r="AJ10" s="2">
        <f t="shared" si="1"/>
        <v>0</v>
      </c>
      <c r="AK10" s="2">
        <f t="shared" si="1"/>
        <v>0</v>
      </c>
      <c r="AL10" s="2">
        <f t="shared" si="1"/>
        <v>0</v>
      </c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</row>
    <row r="11" spans="1:48" ht="12.75" customHeight="1">
      <c r="A11" s="1">
        <v>10</v>
      </c>
      <c r="B11" s="1">
        <v>1</v>
      </c>
      <c r="C11" s="1">
        <v>1</v>
      </c>
      <c r="D11" s="1">
        <f>ROW(A40)</f>
        <v>40</v>
      </c>
      <c r="E11" s="1" t="s">
        <v>1</v>
      </c>
      <c r="F11" s="1" t="s">
        <v>1</v>
      </c>
      <c r="G11" s="1" t="s">
        <v>1</v>
      </c>
      <c r="H11" s="1" t="s">
        <v>1</v>
      </c>
      <c r="I11" s="1" t="s">
        <v>1</v>
      </c>
      <c r="J11" s="1" t="s">
        <v>1</v>
      </c>
      <c r="K11" s="1" t="s">
        <v>1</v>
      </c>
      <c r="L11" s="1" t="s">
        <v>1</v>
      </c>
      <c r="M11" s="1" t="s">
        <v>1</v>
      </c>
      <c r="N11" s="1">
        <v>0</v>
      </c>
      <c r="O11" s="1" t="s">
        <v>1</v>
      </c>
      <c r="P11" s="1" t="s">
        <v>1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34</v>
      </c>
      <c r="AT11" s="1"/>
      <c r="AU11" s="1"/>
      <c r="AV11" s="1" t="s">
        <v>97</v>
      </c>
    </row>
    <row r="12" spans="1:100" ht="12.75" customHeight="1">
      <c r="A12" s="2">
        <v>52</v>
      </c>
      <c r="B12" s="2">
        <v>1</v>
      </c>
      <c r="C12" s="2">
        <f>C11</f>
        <v>1</v>
      </c>
      <c r="D12" s="2">
        <f>ROW(A11)</f>
        <v>11</v>
      </c>
      <c r="E12" s="2">
        <f>E11</f>
      </c>
      <c r="F12" s="2"/>
      <c r="G12" s="2"/>
      <c r="H12" s="2"/>
      <c r="I12" s="2"/>
      <c r="J12" s="2"/>
      <c r="K12" s="2"/>
      <c r="L12" s="2"/>
      <c r="M12" s="2"/>
      <c r="N12" s="2"/>
      <c r="O12" s="2">
        <f aca="true" t="shared" si="2" ref="O12:Y12">O40</f>
        <v>842049.39</v>
      </c>
      <c r="P12" s="2">
        <f t="shared" si="2"/>
        <v>70117.3</v>
      </c>
      <c r="Q12" s="2">
        <f t="shared" si="2"/>
        <v>0</v>
      </c>
      <c r="R12" s="2">
        <f t="shared" si="2"/>
        <v>0</v>
      </c>
      <c r="S12" s="2">
        <f t="shared" si="2"/>
        <v>771932.09</v>
      </c>
      <c r="T12" s="2">
        <f t="shared" si="2"/>
        <v>0</v>
      </c>
      <c r="U12" s="2">
        <f t="shared" si="2"/>
        <v>14561.4</v>
      </c>
      <c r="V12" s="2">
        <f t="shared" si="2"/>
        <v>0</v>
      </c>
      <c r="W12" s="2">
        <f t="shared" si="2"/>
        <v>0</v>
      </c>
      <c r="X12" s="2">
        <f t="shared" si="2"/>
        <v>779651.4</v>
      </c>
      <c r="Y12" s="2">
        <f t="shared" si="2"/>
        <v>440001.29</v>
      </c>
      <c r="Z12" s="2"/>
      <c r="AA12" s="2"/>
      <c r="AB12" s="2">
        <f aca="true" t="shared" si="3" ref="AB12:AL12">AB40</f>
        <v>0</v>
      </c>
      <c r="AC12" s="2">
        <f t="shared" si="3"/>
        <v>0</v>
      </c>
      <c r="AD12" s="2">
        <f t="shared" si="3"/>
        <v>0</v>
      </c>
      <c r="AE12" s="2">
        <f t="shared" si="3"/>
        <v>0</v>
      </c>
      <c r="AF12" s="2">
        <f t="shared" si="3"/>
        <v>0</v>
      </c>
      <c r="AG12" s="2">
        <f t="shared" si="3"/>
        <v>0</v>
      </c>
      <c r="AH12" s="2">
        <f t="shared" si="3"/>
        <v>0</v>
      </c>
      <c r="AI12" s="2">
        <f t="shared" si="3"/>
        <v>0</v>
      </c>
      <c r="AJ12" s="2">
        <f t="shared" si="3"/>
        <v>0</v>
      </c>
      <c r="AK12" s="2">
        <f t="shared" si="3"/>
        <v>0</v>
      </c>
      <c r="AL12" s="2">
        <f t="shared" si="3"/>
        <v>0</v>
      </c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</row>
    <row r="13" spans="1:48" ht="12.75" customHeight="1">
      <c r="A13" s="1">
        <v>10</v>
      </c>
      <c r="B13" s="1">
        <v>2</v>
      </c>
      <c r="C13" s="1">
        <v>1</v>
      </c>
      <c r="D13" s="1">
        <f>ROW(A29)</f>
        <v>29</v>
      </c>
      <c r="E13" s="1" t="s">
        <v>98</v>
      </c>
      <c r="F13" s="1" t="s">
        <v>1</v>
      </c>
      <c r="G13" s="1" t="s">
        <v>1</v>
      </c>
      <c r="H13" s="1" t="s">
        <v>1</v>
      </c>
      <c r="I13" s="1" t="s">
        <v>1</v>
      </c>
      <c r="J13" s="1" t="s">
        <v>1</v>
      </c>
      <c r="K13" s="1" t="s">
        <v>1</v>
      </c>
      <c r="L13" s="1" t="s">
        <v>1</v>
      </c>
      <c r="M13" s="1" t="s">
        <v>1</v>
      </c>
      <c r="N13" s="1">
        <v>0</v>
      </c>
      <c r="O13" s="1" t="s">
        <v>1</v>
      </c>
      <c r="P13" s="1" t="s">
        <v>1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2986</v>
      </c>
      <c r="AT13" s="1"/>
      <c r="AU13" s="1"/>
      <c r="AV13" s="1" t="s">
        <v>97</v>
      </c>
    </row>
    <row r="14" spans="1:100" ht="12.75" customHeight="1">
      <c r="A14" s="2">
        <v>52</v>
      </c>
      <c r="B14" s="2">
        <v>2</v>
      </c>
      <c r="C14" s="2">
        <f>C13</f>
        <v>1</v>
      </c>
      <c r="D14" s="2">
        <f>ROW(A13)</f>
        <v>13</v>
      </c>
      <c r="E14" s="2" t="str">
        <f>E13</f>
        <v>РАЗДЕЛ 1</v>
      </c>
      <c r="F14" s="2"/>
      <c r="G14" s="2"/>
      <c r="H14" s="2"/>
      <c r="I14" s="2"/>
      <c r="J14" s="2"/>
      <c r="K14" s="2"/>
      <c r="L14" s="2"/>
      <c r="M14" s="2"/>
      <c r="N14" s="2"/>
      <c r="O14" s="2">
        <f aca="true" t="shared" si="4" ref="O14:Y14">O29</f>
        <v>842049.39</v>
      </c>
      <c r="P14" s="2">
        <f t="shared" si="4"/>
        <v>70117.3</v>
      </c>
      <c r="Q14" s="2">
        <f t="shared" si="4"/>
        <v>0</v>
      </c>
      <c r="R14" s="2">
        <f t="shared" si="4"/>
        <v>0</v>
      </c>
      <c r="S14" s="2">
        <f t="shared" si="4"/>
        <v>771932.09</v>
      </c>
      <c r="T14" s="2">
        <f t="shared" si="4"/>
        <v>0</v>
      </c>
      <c r="U14" s="2">
        <f t="shared" si="4"/>
        <v>14561.4</v>
      </c>
      <c r="V14" s="2">
        <f t="shared" si="4"/>
        <v>0</v>
      </c>
      <c r="W14" s="2">
        <f t="shared" si="4"/>
        <v>0</v>
      </c>
      <c r="X14" s="2">
        <f t="shared" si="4"/>
        <v>779651.4</v>
      </c>
      <c r="Y14" s="2">
        <f t="shared" si="4"/>
        <v>440001.29</v>
      </c>
      <c r="Z14" s="2"/>
      <c r="AA14" s="2"/>
      <c r="AB14" s="2">
        <f aca="true" t="shared" si="5" ref="AB14:AL14">AB29</f>
        <v>842049.39</v>
      </c>
      <c r="AC14" s="2">
        <f t="shared" si="5"/>
        <v>70117.3</v>
      </c>
      <c r="AD14" s="2">
        <f t="shared" si="5"/>
        <v>0</v>
      </c>
      <c r="AE14" s="2">
        <f t="shared" si="5"/>
        <v>0</v>
      </c>
      <c r="AF14" s="2">
        <f t="shared" si="5"/>
        <v>771932.09</v>
      </c>
      <c r="AG14" s="2">
        <f t="shared" si="5"/>
        <v>0</v>
      </c>
      <c r="AH14" s="2">
        <f t="shared" si="5"/>
        <v>14561.4</v>
      </c>
      <c r="AI14" s="2">
        <f t="shared" si="5"/>
        <v>0</v>
      </c>
      <c r="AJ14" s="2">
        <f t="shared" si="5"/>
        <v>0</v>
      </c>
      <c r="AK14" s="2">
        <f t="shared" si="5"/>
        <v>779651.4</v>
      </c>
      <c r="AL14" s="2">
        <f t="shared" si="5"/>
        <v>440001.29</v>
      </c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</row>
    <row r="15" spans="1:121" ht="12.75" customHeight="1">
      <c r="A15">
        <v>20</v>
      </c>
      <c r="B15">
        <v>0</v>
      </c>
      <c r="C15">
        <v>1</v>
      </c>
      <c r="E15" t="s">
        <v>99</v>
      </c>
      <c r="F15" t="s">
        <v>100</v>
      </c>
      <c r="G15" t="s">
        <v>101</v>
      </c>
      <c r="H15" t="s">
        <v>102</v>
      </c>
      <c r="I15">
        <v>1</v>
      </c>
      <c r="J15">
        <v>0</v>
      </c>
      <c r="O15">
        <f aca="true" t="shared" si="6" ref="O15:O28">ROUND(ROUND(P15,2)+ROUND(Q15,2)+ROUND(S15,2),2)</f>
        <v>42479.64</v>
      </c>
      <c r="P15">
        <f aca="true" t="shared" si="7" ref="P15:P28">ROUND(((AC15)*AW15)*I15*BC15,2)</f>
        <v>2229.16</v>
      </c>
      <c r="Q15">
        <f aca="true" t="shared" si="8" ref="Q15:Q28">ROUND(((AD15)*AV15)*I15*BB15,2)</f>
        <v>0</v>
      </c>
      <c r="R15">
        <f aca="true" t="shared" si="9" ref="R15:R28">ROUND(((AE15)*AV15)*I15*BA15,2)</f>
        <v>0</v>
      </c>
      <c r="S15">
        <f aca="true" t="shared" si="10" ref="S15:S28">ROUND(((AF15)*AV15)*I15*BA15,2)</f>
        <v>40250.48</v>
      </c>
      <c r="T15">
        <f aca="true" t="shared" si="11" ref="T15:T28">ROUND((AG15)*I15,2)</f>
        <v>0</v>
      </c>
      <c r="U15">
        <f aca="true" t="shared" si="12" ref="U15:U28">ROUND(((AH15)*AV15)*I15,2)</f>
        <v>734.4</v>
      </c>
      <c r="V15">
        <f aca="true" t="shared" si="13" ref="V15:V28">ROUND((AI15)*I15,2)</f>
        <v>0</v>
      </c>
      <c r="W15">
        <f aca="true" t="shared" si="14" ref="W15:W28">ROUND((AJ15)*I15,2)</f>
        <v>0</v>
      </c>
      <c r="X15">
        <f aca="true" t="shared" si="15" ref="X15:X28">ROUND(S15*IF(AX15&lt;25,AX15,AX15/100),2)</f>
        <v>40652.98</v>
      </c>
      <c r="Y15">
        <f aca="true" t="shared" si="16" ref="Y15:Y28">ROUND(S15*IF(AY15&lt;25,AY15,AY15/100),2)</f>
        <v>22942.77</v>
      </c>
      <c r="AA15">
        <v>0</v>
      </c>
      <c r="AB15">
        <f aca="true" t="shared" si="17" ref="AB15:AB28">AC15+AD15+AF15</f>
        <v>11205.875999999998</v>
      </c>
      <c r="AC15">
        <f aca="true" t="shared" si="18" ref="AC15:AC28">(AL15)*1.2</f>
        <v>696.612</v>
      </c>
      <c r="AD15">
        <f aca="true" t="shared" si="19" ref="AD15:AD28">AM15</f>
        <v>0</v>
      </c>
      <c r="AE15">
        <f aca="true" t="shared" si="20" ref="AE15:AE28">AN15</f>
        <v>0</v>
      </c>
      <c r="AF15">
        <f>((AO15)*1.2)*1.7</f>
        <v>10509.264</v>
      </c>
      <c r="AG15">
        <f aca="true" t="shared" si="21" ref="AG15:AG28">AP15</f>
        <v>0</v>
      </c>
      <c r="AH15">
        <f>((AQ15)*1.2)*1.7</f>
        <v>734.4</v>
      </c>
      <c r="AI15">
        <f aca="true" t="shared" si="22" ref="AI15:AI28">AR15</f>
        <v>0</v>
      </c>
      <c r="AJ15">
        <f aca="true" t="shared" si="23" ref="AJ15:AJ28">AS15</f>
        <v>0</v>
      </c>
      <c r="AK15">
        <v>5732.11</v>
      </c>
      <c r="AL15">
        <v>580.51</v>
      </c>
      <c r="AM15">
        <v>0</v>
      </c>
      <c r="AN15">
        <v>0</v>
      </c>
      <c r="AO15">
        <v>5151.6</v>
      </c>
      <c r="AP15">
        <v>0</v>
      </c>
      <c r="AQ15">
        <v>360</v>
      </c>
      <c r="AR15">
        <v>0</v>
      </c>
      <c r="AS15">
        <v>0</v>
      </c>
      <c r="AT15">
        <v>110</v>
      </c>
      <c r="AU15">
        <v>74</v>
      </c>
      <c r="AV15">
        <v>1</v>
      </c>
      <c r="AW15">
        <v>1</v>
      </c>
      <c r="AX15">
        <v>101</v>
      </c>
      <c r="AY15">
        <v>57</v>
      </c>
      <c r="AZ15">
        <v>3.83</v>
      </c>
      <c r="BA15">
        <v>3.83</v>
      </c>
      <c r="BB15">
        <v>1</v>
      </c>
      <c r="BC15">
        <v>3.2</v>
      </c>
      <c r="BH15">
        <v>0</v>
      </c>
      <c r="BI15" t="s">
        <v>94</v>
      </c>
      <c r="BJ15" t="s">
        <v>103</v>
      </c>
      <c r="BK15" t="s">
        <v>102</v>
      </c>
      <c r="BL15">
        <v>1</v>
      </c>
      <c r="BM15">
        <v>7560</v>
      </c>
      <c r="BN15">
        <v>2</v>
      </c>
      <c r="BP15">
        <v>0</v>
      </c>
      <c r="BQ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1401</v>
      </c>
      <c r="CE15">
        <v>0</v>
      </c>
      <c r="CF15">
        <v>0</v>
      </c>
      <c r="CG15">
        <v>0</v>
      </c>
      <c r="CI15">
        <v>0</v>
      </c>
      <c r="CJ15">
        <v>0</v>
      </c>
      <c r="CK15">
        <v>0</v>
      </c>
      <c r="CM15">
        <v>0</v>
      </c>
      <c r="CO15" t="s">
        <v>96</v>
      </c>
      <c r="CP15">
        <v>0</v>
      </c>
      <c r="CQ15">
        <v>0</v>
      </c>
      <c r="CR15" t="s">
        <v>104</v>
      </c>
      <c r="CS15" t="s">
        <v>105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 t="s">
        <v>106</v>
      </c>
      <c r="DD15" t="s">
        <v>107</v>
      </c>
      <c r="DG15" t="s">
        <v>108</v>
      </c>
      <c r="DI15" t="s">
        <v>108</v>
      </c>
      <c r="DO15" t="s">
        <v>97</v>
      </c>
      <c r="DP15">
        <v>140</v>
      </c>
      <c r="DQ15">
        <v>7560</v>
      </c>
    </row>
    <row r="16" spans="1:121" ht="12.75" customHeight="1">
      <c r="A16">
        <v>20</v>
      </c>
      <c r="B16">
        <v>0</v>
      </c>
      <c r="C16">
        <v>1</v>
      </c>
      <c r="E16" t="s">
        <v>109</v>
      </c>
      <c r="F16" t="s">
        <v>100</v>
      </c>
      <c r="G16" t="s">
        <v>110</v>
      </c>
      <c r="H16" t="s">
        <v>102</v>
      </c>
      <c r="I16">
        <v>1</v>
      </c>
      <c r="J16">
        <v>0</v>
      </c>
      <c r="O16">
        <f t="shared" si="6"/>
        <v>18329.35</v>
      </c>
      <c r="P16">
        <f t="shared" si="7"/>
        <v>2229.16</v>
      </c>
      <c r="Q16">
        <f t="shared" si="8"/>
        <v>0</v>
      </c>
      <c r="R16">
        <f t="shared" si="9"/>
        <v>0</v>
      </c>
      <c r="S16">
        <f t="shared" si="10"/>
        <v>16100.19</v>
      </c>
      <c r="T16">
        <f t="shared" si="11"/>
        <v>0</v>
      </c>
      <c r="U16">
        <f t="shared" si="12"/>
        <v>293.76</v>
      </c>
      <c r="V16">
        <f t="shared" si="13"/>
        <v>0</v>
      </c>
      <c r="W16">
        <f t="shared" si="14"/>
        <v>0</v>
      </c>
      <c r="X16">
        <f t="shared" si="15"/>
        <v>16261.19</v>
      </c>
      <c r="Y16">
        <f t="shared" si="16"/>
        <v>9177.11</v>
      </c>
      <c r="AA16">
        <v>0</v>
      </c>
      <c r="AB16">
        <f t="shared" si="17"/>
        <v>4900.3176</v>
      </c>
      <c r="AC16">
        <f t="shared" si="18"/>
        <v>696.612</v>
      </c>
      <c r="AD16">
        <f t="shared" si="19"/>
        <v>0</v>
      </c>
      <c r="AE16">
        <f t="shared" si="20"/>
        <v>0</v>
      </c>
      <c r="AF16">
        <f>(((AO16)*1.2)*1.7)*0.4</f>
        <v>4203.7056</v>
      </c>
      <c r="AG16">
        <f t="shared" si="21"/>
        <v>0</v>
      </c>
      <c r="AH16">
        <f>(((AQ16)*1.2)*1.7)*0.4</f>
        <v>293.76</v>
      </c>
      <c r="AI16">
        <f t="shared" si="22"/>
        <v>0</v>
      </c>
      <c r="AJ16">
        <f t="shared" si="23"/>
        <v>0</v>
      </c>
      <c r="AK16">
        <v>5732.11</v>
      </c>
      <c r="AL16">
        <v>580.51</v>
      </c>
      <c r="AM16">
        <v>0</v>
      </c>
      <c r="AN16">
        <v>0</v>
      </c>
      <c r="AO16">
        <v>5151.6</v>
      </c>
      <c r="AP16">
        <v>0</v>
      </c>
      <c r="AQ16">
        <v>360</v>
      </c>
      <c r="AR16">
        <v>0</v>
      </c>
      <c r="AS16">
        <v>0</v>
      </c>
      <c r="AT16">
        <v>110</v>
      </c>
      <c r="AU16">
        <v>74</v>
      </c>
      <c r="AV16">
        <v>1</v>
      </c>
      <c r="AW16">
        <v>1</v>
      </c>
      <c r="AX16">
        <v>101</v>
      </c>
      <c r="AY16">
        <v>57</v>
      </c>
      <c r="AZ16">
        <v>3.83</v>
      </c>
      <c r="BA16">
        <v>3.83</v>
      </c>
      <c r="BB16">
        <v>1</v>
      </c>
      <c r="BC16">
        <v>3.2</v>
      </c>
      <c r="BH16">
        <v>0</v>
      </c>
      <c r="BI16" t="s">
        <v>94</v>
      </c>
      <c r="BJ16" t="s">
        <v>103</v>
      </c>
      <c r="BK16" t="s">
        <v>102</v>
      </c>
      <c r="BL16">
        <v>1</v>
      </c>
      <c r="BM16">
        <v>7560</v>
      </c>
      <c r="BN16">
        <v>2</v>
      </c>
      <c r="BP16">
        <v>0</v>
      </c>
      <c r="BQ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1401</v>
      </c>
      <c r="CE16">
        <v>0</v>
      </c>
      <c r="CF16">
        <v>0</v>
      </c>
      <c r="CG16">
        <v>0</v>
      </c>
      <c r="CI16">
        <v>0</v>
      </c>
      <c r="CJ16">
        <v>0</v>
      </c>
      <c r="CK16">
        <v>0</v>
      </c>
      <c r="CM16">
        <v>0</v>
      </c>
      <c r="CO16" t="s">
        <v>96</v>
      </c>
      <c r="CP16">
        <v>0</v>
      </c>
      <c r="CQ16">
        <v>0</v>
      </c>
      <c r="CR16" t="s">
        <v>104</v>
      </c>
      <c r="CS16" t="s">
        <v>105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 t="s">
        <v>106</v>
      </c>
      <c r="DD16" t="s">
        <v>107</v>
      </c>
      <c r="DG16" t="s">
        <v>111</v>
      </c>
      <c r="DI16" t="s">
        <v>111</v>
      </c>
      <c r="DO16" t="s">
        <v>97</v>
      </c>
      <c r="DP16">
        <v>140</v>
      </c>
      <c r="DQ16">
        <v>7560</v>
      </c>
    </row>
    <row r="17" spans="1:121" ht="12.75" customHeight="1">
      <c r="A17">
        <v>20</v>
      </c>
      <c r="B17">
        <v>0</v>
      </c>
      <c r="C17">
        <v>1</v>
      </c>
      <c r="E17" t="s">
        <v>112</v>
      </c>
      <c r="F17" t="s">
        <v>113</v>
      </c>
      <c r="G17" t="s">
        <v>114</v>
      </c>
      <c r="H17" t="s">
        <v>102</v>
      </c>
      <c r="I17">
        <v>8</v>
      </c>
      <c r="J17">
        <v>0</v>
      </c>
      <c r="O17">
        <f t="shared" si="6"/>
        <v>16647.99</v>
      </c>
      <c r="P17">
        <f t="shared" si="7"/>
        <v>1423.46</v>
      </c>
      <c r="Q17">
        <f t="shared" si="8"/>
        <v>0</v>
      </c>
      <c r="R17">
        <f t="shared" si="9"/>
        <v>0</v>
      </c>
      <c r="S17">
        <f t="shared" si="10"/>
        <v>15224.53</v>
      </c>
      <c r="T17">
        <f t="shared" si="11"/>
        <v>0</v>
      </c>
      <c r="U17">
        <f t="shared" si="12"/>
        <v>346.56</v>
      </c>
      <c r="V17">
        <f t="shared" si="13"/>
        <v>0</v>
      </c>
      <c r="W17">
        <f t="shared" si="14"/>
        <v>0</v>
      </c>
      <c r="X17">
        <f t="shared" si="15"/>
        <v>15376.78</v>
      </c>
      <c r="Y17">
        <f t="shared" si="16"/>
        <v>8677.98</v>
      </c>
      <c r="AA17">
        <v>0</v>
      </c>
      <c r="AB17">
        <f t="shared" si="17"/>
        <v>558.24</v>
      </c>
      <c r="AC17">
        <f t="shared" si="18"/>
        <v>61.356</v>
      </c>
      <c r="AD17">
        <f t="shared" si="19"/>
        <v>0</v>
      </c>
      <c r="AE17">
        <f t="shared" si="20"/>
        <v>0</v>
      </c>
      <c r="AF17">
        <f>(AO17)*1.2</f>
        <v>496.88399999999996</v>
      </c>
      <c r="AG17">
        <f t="shared" si="21"/>
        <v>0</v>
      </c>
      <c r="AH17">
        <f>(AQ17)*1.2</f>
        <v>43.32</v>
      </c>
      <c r="AI17">
        <f t="shared" si="22"/>
        <v>0</v>
      </c>
      <c r="AJ17">
        <f t="shared" si="23"/>
        <v>0</v>
      </c>
      <c r="AK17">
        <v>465.2</v>
      </c>
      <c r="AL17">
        <v>51.13</v>
      </c>
      <c r="AM17">
        <v>0</v>
      </c>
      <c r="AN17">
        <v>0</v>
      </c>
      <c r="AO17">
        <v>414.07</v>
      </c>
      <c r="AP17">
        <v>0</v>
      </c>
      <c r="AQ17">
        <v>36.1</v>
      </c>
      <c r="AR17">
        <v>0</v>
      </c>
      <c r="AS17">
        <v>0</v>
      </c>
      <c r="AT17">
        <v>110</v>
      </c>
      <c r="AU17">
        <v>74</v>
      </c>
      <c r="AV17">
        <v>1</v>
      </c>
      <c r="AW17">
        <v>1</v>
      </c>
      <c r="AX17">
        <v>101</v>
      </c>
      <c r="AY17">
        <v>57</v>
      </c>
      <c r="AZ17">
        <v>3.83</v>
      </c>
      <c r="BA17">
        <v>3.83</v>
      </c>
      <c r="BB17">
        <v>1</v>
      </c>
      <c r="BC17">
        <v>2.9</v>
      </c>
      <c r="BH17">
        <v>0</v>
      </c>
      <c r="BI17" t="s">
        <v>94</v>
      </c>
      <c r="BJ17" t="s">
        <v>115</v>
      </c>
      <c r="BK17" t="s">
        <v>102</v>
      </c>
      <c r="BL17">
        <v>1</v>
      </c>
      <c r="BM17">
        <v>7560</v>
      </c>
      <c r="BN17">
        <v>2</v>
      </c>
      <c r="BP17">
        <v>0</v>
      </c>
      <c r="BQ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1401</v>
      </c>
      <c r="CE17">
        <v>0</v>
      </c>
      <c r="CF17">
        <v>0</v>
      </c>
      <c r="CG17">
        <v>0</v>
      </c>
      <c r="CI17">
        <v>0</v>
      </c>
      <c r="CJ17">
        <v>0</v>
      </c>
      <c r="CK17">
        <v>0</v>
      </c>
      <c r="CM17">
        <v>0</v>
      </c>
      <c r="CO17" t="s">
        <v>96</v>
      </c>
      <c r="CP17">
        <v>0</v>
      </c>
      <c r="CQ17">
        <v>0</v>
      </c>
      <c r="CR17" t="s">
        <v>104</v>
      </c>
      <c r="CS17" t="s">
        <v>105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 t="s">
        <v>106</v>
      </c>
      <c r="DD17" t="s">
        <v>107</v>
      </c>
      <c r="DG17" t="s">
        <v>107</v>
      </c>
      <c r="DI17" t="s">
        <v>107</v>
      </c>
      <c r="DO17" t="s">
        <v>97</v>
      </c>
      <c r="DP17">
        <v>140</v>
      </c>
      <c r="DQ17">
        <v>7560</v>
      </c>
    </row>
    <row r="18" spans="1:121" ht="12.75" customHeight="1">
      <c r="A18">
        <v>20</v>
      </c>
      <c r="B18">
        <v>0</v>
      </c>
      <c r="C18">
        <v>1</v>
      </c>
      <c r="E18" t="s">
        <v>116</v>
      </c>
      <c r="F18" t="s">
        <v>113</v>
      </c>
      <c r="G18" t="s">
        <v>117</v>
      </c>
      <c r="H18" t="s">
        <v>102</v>
      </c>
      <c r="I18">
        <v>8</v>
      </c>
      <c r="J18">
        <v>0</v>
      </c>
      <c r="O18">
        <f t="shared" si="6"/>
        <v>7513.27</v>
      </c>
      <c r="P18">
        <f t="shared" si="7"/>
        <v>1423.46</v>
      </c>
      <c r="Q18">
        <f t="shared" si="8"/>
        <v>0</v>
      </c>
      <c r="R18">
        <f t="shared" si="9"/>
        <v>0</v>
      </c>
      <c r="S18">
        <f t="shared" si="10"/>
        <v>6089.81</v>
      </c>
      <c r="T18">
        <f t="shared" si="11"/>
        <v>0</v>
      </c>
      <c r="U18">
        <f t="shared" si="12"/>
        <v>138.62</v>
      </c>
      <c r="V18">
        <f t="shared" si="13"/>
        <v>0</v>
      </c>
      <c r="W18">
        <f t="shared" si="14"/>
        <v>0</v>
      </c>
      <c r="X18">
        <f t="shared" si="15"/>
        <v>6150.71</v>
      </c>
      <c r="Y18">
        <f t="shared" si="16"/>
        <v>3471.19</v>
      </c>
      <c r="AA18">
        <v>0</v>
      </c>
      <c r="AB18">
        <f t="shared" si="17"/>
        <v>260.1096</v>
      </c>
      <c r="AC18">
        <f t="shared" si="18"/>
        <v>61.356</v>
      </c>
      <c r="AD18">
        <f t="shared" si="19"/>
        <v>0</v>
      </c>
      <c r="AE18">
        <f t="shared" si="20"/>
        <v>0</v>
      </c>
      <c r="AF18">
        <f>((AO18)*1.2)*0.4</f>
        <v>198.7536</v>
      </c>
      <c r="AG18">
        <f t="shared" si="21"/>
        <v>0</v>
      </c>
      <c r="AH18">
        <f>((AQ18)*1.2)*0.4</f>
        <v>17.328</v>
      </c>
      <c r="AI18">
        <f t="shared" si="22"/>
        <v>0</v>
      </c>
      <c r="AJ18">
        <f t="shared" si="23"/>
        <v>0</v>
      </c>
      <c r="AK18">
        <v>465.2</v>
      </c>
      <c r="AL18">
        <v>51.13</v>
      </c>
      <c r="AM18">
        <v>0</v>
      </c>
      <c r="AN18">
        <v>0</v>
      </c>
      <c r="AO18">
        <v>414.07</v>
      </c>
      <c r="AP18">
        <v>0</v>
      </c>
      <c r="AQ18">
        <v>36.1</v>
      </c>
      <c r="AR18">
        <v>0</v>
      </c>
      <c r="AS18">
        <v>0</v>
      </c>
      <c r="AT18">
        <v>110</v>
      </c>
      <c r="AU18">
        <v>74</v>
      </c>
      <c r="AV18">
        <v>1</v>
      </c>
      <c r="AW18">
        <v>1</v>
      </c>
      <c r="AX18">
        <v>101</v>
      </c>
      <c r="AY18">
        <v>57</v>
      </c>
      <c r="AZ18">
        <v>3.83</v>
      </c>
      <c r="BA18">
        <v>3.83</v>
      </c>
      <c r="BB18">
        <v>1</v>
      </c>
      <c r="BC18">
        <v>2.9</v>
      </c>
      <c r="BH18">
        <v>0</v>
      </c>
      <c r="BI18" t="s">
        <v>94</v>
      </c>
      <c r="BJ18" t="s">
        <v>115</v>
      </c>
      <c r="BK18" t="s">
        <v>102</v>
      </c>
      <c r="BL18">
        <v>1</v>
      </c>
      <c r="BM18">
        <v>7560</v>
      </c>
      <c r="BN18">
        <v>2</v>
      </c>
      <c r="BP18">
        <v>0</v>
      </c>
      <c r="BQ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1401</v>
      </c>
      <c r="CE18">
        <v>0</v>
      </c>
      <c r="CF18">
        <v>0</v>
      </c>
      <c r="CG18">
        <v>0</v>
      </c>
      <c r="CI18">
        <v>0</v>
      </c>
      <c r="CJ18">
        <v>0</v>
      </c>
      <c r="CK18">
        <v>0</v>
      </c>
      <c r="CM18">
        <v>0</v>
      </c>
      <c r="CO18" t="s">
        <v>96</v>
      </c>
      <c r="CP18">
        <v>0</v>
      </c>
      <c r="CQ18">
        <v>0</v>
      </c>
      <c r="CR18" t="s">
        <v>104</v>
      </c>
      <c r="CS18" t="s">
        <v>105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 t="s">
        <v>106</v>
      </c>
      <c r="DD18" t="s">
        <v>107</v>
      </c>
      <c r="DG18" t="s">
        <v>118</v>
      </c>
      <c r="DI18" t="s">
        <v>118</v>
      </c>
      <c r="DO18" t="s">
        <v>97</v>
      </c>
      <c r="DP18">
        <v>140</v>
      </c>
      <c r="DQ18">
        <v>7560</v>
      </c>
    </row>
    <row r="19" spans="1:121" ht="12.75" customHeight="1">
      <c r="A19">
        <v>20</v>
      </c>
      <c r="B19">
        <v>0</v>
      </c>
      <c r="C19">
        <v>1</v>
      </c>
      <c r="E19" t="s">
        <v>119</v>
      </c>
      <c r="F19" t="s">
        <v>120</v>
      </c>
      <c r="G19" t="s">
        <v>121</v>
      </c>
      <c r="H19" t="s">
        <v>102</v>
      </c>
      <c r="I19">
        <v>5</v>
      </c>
      <c r="J19">
        <v>0</v>
      </c>
      <c r="O19">
        <f t="shared" si="6"/>
        <v>12065.3</v>
      </c>
      <c r="P19">
        <f t="shared" si="7"/>
        <v>994.91</v>
      </c>
      <c r="Q19">
        <f t="shared" si="8"/>
        <v>0</v>
      </c>
      <c r="R19">
        <f t="shared" si="9"/>
        <v>0</v>
      </c>
      <c r="S19">
        <f t="shared" si="10"/>
        <v>11070.39</v>
      </c>
      <c r="T19">
        <f t="shared" si="11"/>
        <v>0</v>
      </c>
      <c r="U19">
        <f t="shared" si="12"/>
        <v>252</v>
      </c>
      <c r="V19">
        <f t="shared" si="13"/>
        <v>0</v>
      </c>
      <c r="W19">
        <f t="shared" si="14"/>
        <v>0</v>
      </c>
      <c r="X19">
        <f t="shared" si="15"/>
        <v>11181.09</v>
      </c>
      <c r="Y19">
        <f t="shared" si="16"/>
        <v>6310.12</v>
      </c>
      <c r="AA19">
        <v>0</v>
      </c>
      <c r="AB19">
        <f t="shared" si="17"/>
        <v>648.9</v>
      </c>
      <c r="AC19">
        <f t="shared" si="18"/>
        <v>70.812</v>
      </c>
      <c r="AD19">
        <f t="shared" si="19"/>
        <v>0</v>
      </c>
      <c r="AE19">
        <f t="shared" si="20"/>
        <v>0</v>
      </c>
      <c r="AF19">
        <f>(AO19)*1.2</f>
        <v>578.088</v>
      </c>
      <c r="AG19">
        <f t="shared" si="21"/>
        <v>0</v>
      </c>
      <c r="AH19">
        <f>(AQ19)*1.2</f>
        <v>50.4</v>
      </c>
      <c r="AI19">
        <f t="shared" si="22"/>
        <v>0</v>
      </c>
      <c r="AJ19">
        <f t="shared" si="23"/>
        <v>0</v>
      </c>
      <c r="AK19">
        <v>540.75</v>
      </c>
      <c r="AL19">
        <v>59.01</v>
      </c>
      <c r="AM19">
        <v>0</v>
      </c>
      <c r="AN19">
        <v>0</v>
      </c>
      <c r="AO19">
        <v>481.74</v>
      </c>
      <c r="AP19">
        <v>0</v>
      </c>
      <c r="AQ19">
        <v>42</v>
      </c>
      <c r="AR19">
        <v>0</v>
      </c>
      <c r="AS19">
        <v>0</v>
      </c>
      <c r="AT19">
        <v>110</v>
      </c>
      <c r="AU19">
        <v>74</v>
      </c>
      <c r="AV19">
        <v>1</v>
      </c>
      <c r="AW19">
        <v>1</v>
      </c>
      <c r="AX19">
        <v>101</v>
      </c>
      <c r="AY19">
        <v>57</v>
      </c>
      <c r="AZ19">
        <v>3.83</v>
      </c>
      <c r="BA19">
        <v>3.83</v>
      </c>
      <c r="BB19">
        <v>1</v>
      </c>
      <c r="BC19">
        <v>2.81</v>
      </c>
      <c r="BH19">
        <v>0</v>
      </c>
      <c r="BI19" t="s">
        <v>94</v>
      </c>
      <c r="BJ19" t="s">
        <v>122</v>
      </c>
      <c r="BK19" t="s">
        <v>102</v>
      </c>
      <c r="BL19">
        <v>1</v>
      </c>
      <c r="BM19">
        <v>7560</v>
      </c>
      <c r="BN19">
        <v>2</v>
      </c>
      <c r="BP19">
        <v>0</v>
      </c>
      <c r="BQ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1401</v>
      </c>
      <c r="CE19">
        <v>0</v>
      </c>
      <c r="CF19">
        <v>0</v>
      </c>
      <c r="CG19">
        <v>0</v>
      </c>
      <c r="CI19">
        <v>0</v>
      </c>
      <c r="CJ19">
        <v>0</v>
      </c>
      <c r="CK19">
        <v>0</v>
      </c>
      <c r="CM19">
        <v>0</v>
      </c>
      <c r="CO19" t="s">
        <v>96</v>
      </c>
      <c r="CP19">
        <v>0</v>
      </c>
      <c r="CQ19">
        <v>0</v>
      </c>
      <c r="CR19" t="s">
        <v>104</v>
      </c>
      <c r="CS19" t="s">
        <v>105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 t="s">
        <v>106</v>
      </c>
      <c r="DD19" t="s">
        <v>107</v>
      </c>
      <c r="DG19" t="s">
        <v>107</v>
      </c>
      <c r="DI19" t="s">
        <v>107</v>
      </c>
      <c r="DO19" t="s">
        <v>97</v>
      </c>
      <c r="DP19">
        <v>140</v>
      </c>
      <c r="DQ19">
        <v>7560</v>
      </c>
    </row>
    <row r="20" spans="1:121" ht="12.75" customHeight="1">
      <c r="A20">
        <v>20</v>
      </c>
      <c r="B20">
        <v>0</v>
      </c>
      <c r="C20">
        <v>1</v>
      </c>
      <c r="E20" t="s">
        <v>123</v>
      </c>
      <c r="F20" t="s">
        <v>120</v>
      </c>
      <c r="G20" t="s">
        <v>124</v>
      </c>
      <c r="H20" t="s">
        <v>102</v>
      </c>
      <c r="I20">
        <v>5</v>
      </c>
      <c r="J20">
        <v>0</v>
      </c>
      <c r="O20">
        <f t="shared" si="6"/>
        <v>5423.06</v>
      </c>
      <c r="P20">
        <f t="shared" si="7"/>
        <v>994.91</v>
      </c>
      <c r="Q20">
        <f t="shared" si="8"/>
        <v>0</v>
      </c>
      <c r="R20">
        <f t="shared" si="9"/>
        <v>0</v>
      </c>
      <c r="S20">
        <f t="shared" si="10"/>
        <v>4428.15</v>
      </c>
      <c r="T20">
        <f t="shared" si="11"/>
        <v>0</v>
      </c>
      <c r="U20">
        <f t="shared" si="12"/>
        <v>100.8</v>
      </c>
      <c r="V20">
        <f t="shared" si="13"/>
        <v>0</v>
      </c>
      <c r="W20">
        <f t="shared" si="14"/>
        <v>0</v>
      </c>
      <c r="X20">
        <f t="shared" si="15"/>
        <v>4472.43</v>
      </c>
      <c r="Y20">
        <f t="shared" si="16"/>
        <v>2524.05</v>
      </c>
      <c r="AA20">
        <v>0</v>
      </c>
      <c r="AB20">
        <f t="shared" si="17"/>
        <v>302.0472</v>
      </c>
      <c r="AC20">
        <f t="shared" si="18"/>
        <v>70.812</v>
      </c>
      <c r="AD20">
        <f t="shared" si="19"/>
        <v>0</v>
      </c>
      <c r="AE20">
        <f t="shared" si="20"/>
        <v>0</v>
      </c>
      <c r="AF20">
        <f>((AO20)*1.2)*0.4</f>
        <v>231.2352</v>
      </c>
      <c r="AG20">
        <f t="shared" si="21"/>
        <v>0</v>
      </c>
      <c r="AH20">
        <f>((AQ20)*1.2)*0.4</f>
        <v>20.16</v>
      </c>
      <c r="AI20">
        <f t="shared" si="22"/>
        <v>0</v>
      </c>
      <c r="AJ20">
        <f t="shared" si="23"/>
        <v>0</v>
      </c>
      <c r="AK20">
        <v>540.75</v>
      </c>
      <c r="AL20">
        <v>59.01</v>
      </c>
      <c r="AM20">
        <v>0</v>
      </c>
      <c r="AN20">
        <v>0</v>
      </c>
      <c r="AO20">
        <v>481.74</v>
      </c>
      <c r="AP20">
        <v>0</v>
      </c>
      <c r="AQ20">
        <v>42</v>
      </c>
      <c r="AR20">
        <v>0</v>
      </c>
      <c r="AS20">
        <v>0</v>
      </c>
      <c r="AT20">
        <v>110</v>
      </c>
      <c r="AU20">
        <v>74</v>
      </c>
      <c r="AV20">
        <v>1</v>
      </c>
      <c r="AW20">
        <v>1</v>
      </c>
      <c r="AX20">
        <v>101</v>
      </c>
      <c r="AY20">
        <v>57</v>
      </c>
      <c r="AZ20">
        <v>3.83</v>
      </c>
      <c r="BA20">
        <v>3.83</v>
      </c>
      <c r="BB20">
        <v>1</v>
      </c>
      <c r="BC20">
        <v>2.81</v>
      </c>
      <c r="BH20">
        <v>0</v>
      </c>
      <c r="BI20" t="s">
        <v>94</v>
      </c>
      <c r="BJ20" t="s">
        <v>122</v>
      </c>
      <c r="BK20" t="s">
        <v>102</v>
      </c>
      <c r="BL20">
        <v>1</v>
      </c>
      <c r="BM20">
        <v>7560</v>
      </c>
      <c r="BN20">
        <v>2</v>
      </c>
      <c r="BP20">
        <v>0</v>
      </c>
      <c r="BQ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1401</v>
      </c>
      <c r="CE20">
        <v>0</v>
      </c>
      <c r="CF20">
        <v>0</v>
      </c>
      <c r="CG20">
        <v>0</v>
      </c>
      <c r="CI20">
        <v>0</v>
      </c>
      <c r="CJ20">
        <v>0</v>
      </c>
      <c r="CK20">
        <v>0</v>
      </c>
      <c r="CM20">
        <v>0</v>
      </c>
      <c r="CO20" t="s">
        <v>96</v>
      </c>
      <c r="CP20">
        <v>0</v>
      </c>
      <c r="CQ20">
        <v>0</v>
      </c>
      <c r="CR20" t="s">
        <v>104</v>
      </c>
      <c r="CS20" t="s">
        <v>105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 t="s">
        <v>106</v>
      </c>
      <c r="DD20" t="s">
        <v>107</v>
      </c>
      <c r="DG20" t="s">
        <v>118</v>
      </c>
      <c r="DI20" t="s">
        <v>118</v>
      </c>
      <c r="DO20" t="s">
        <v>97</v>
      </c>
      <c r="DP20">
        <v>140</v>
      </c>
      <c r="DQ20">
        <v>7560</v>
      </c>
    </row>
    <row r="21" spans="1:121" ht="12.75" customHeight="1">
      <c r="A21">
        <v>20</v>
      </c>
      <c r="B21">
        <v>0</v>
      </c>
      <c r="C21">
        <v>1</v>
      </c>
      <c r="E21" t="s">
        <v>125</v>
      </c>
      <c r="F21" t="s">
        <v>126</v>
      </c>
      <c r="G21" t="s">
        <v>127</v>
      </c>
      <c r="H21" t="s">
        <v>102</v>
      </c>
      <c r="I21">
        <v>3</v>
      </c>
      <c r="J21">
        <v>0</v>
      </c>
      <c r="O21">
        <f t="shared" si="6"/>
        <v>9010.66</v>
      </c>
      <c r="P21">
        <f t="shared" si="7"/>
        <v>707.8</v>
      </c>
      <c r="Q21">
        <f t="shared" si="8"/>
        <v>0</v>
      </c>
      <c r="R21">
        <f t="shared" si="9"/>
        <v>0</v>
      </c>
      <c r="S21">
        <f t="shared" si="10"/>
        <v>8302.86</v>
      </c>
      <c r="T21">
        <f t="shared" si="11"/>
        <v>0</v>
      </c>
      <c r="U21">
        <f t="shared" si="12"/>
        <v>189</v>
      </c>
      <c r="V21">
        <f t="shared" si="13"/>
        <v>0</v>
      </c>
      <c r="W21">
        <f t="shared" si="14"/>
        <v>0</v>
      </c>
      <c r="X21">
        <f t="shared" si="15"/>
        <v>8385.89</v>
      </c>
      <c r="Y21">
        <f t="shared" si="16"/>
        <v>4732.63</v>
      </c>
      <c r="AA21">
        <v>0</v>
      </c>
      <c r="AB21">
        <f t="shared" si="17"/>
        <v>810.3239999999998</v>
      </c>
      <c r="AC21">
        <f t="shared" si="18"/>
        <v>87.708</v>
      </c>
      <c r="AD21">
        <f t="shared" si="19"/>
        <v>0</v>
      </c>
      <c r="AE21">
        <f t="shared" si="20"/>
        <v>0</v>
      </c>
      <c r="AF21">
        <f>(AO21)*1.2</f>
        <v>722.6159999999999</v>
      </c>
      <c r="AG21">
        <f t="shared" si="21"/>
        <v>0</v>
      </c>
      <c r="AH21">
        <f>(AQ21)*1.2</f>
        <v>63</v>
      </c>
      <c r="AI21">
        <f t="shared" si="22"/>
        <v>0</v>
      </c>
      <c r="AJ21">
        <f t="shared" si="23"/>
        <v>0</v>
      </c>
      <c r="AK21">
        <v>675.27</v>
      </c>
      <c r="AL21">
        <v>73.09</v>
      </c>
      <c r="AM21">
        <v>0</v>
      </c>
      <c r="AN21">
        <v>0</v>
      </c>
      <c r="AO21">
        <v>602.18</v>
      </c>
      <c r="AP21">
        <v>0</v>
      </c>
      <c r="AQ21">
        <v>52.5</v>
      </c>
      <c r="AR21">
        <v>0</v>
      </c>
      <c r="AS21">
        <v>0</v>
      </c>
      <c r="AT21">
        <v>110</v>
      </c>
      <c r="AU21">
        <v>74</v>
      </c>
      <c r="AV21">
        <v>1</v>
      </c>
      <c r="AW21">
        <v>1</v>
      </c>
      <c r="AX21">
        <v>101</v>
      </c>
      <c r="AY21">
        <v>57</v>
      </c>
      <c r="AZ21">
        <v>3.83</v>
      </c>
      <c r="BA21">
        <v>3.83</v>
      </c>
      <c r="BB21">
        <v>1</v>
      </c>
      <c r="BC21">
        <v>2.69</v>
      </c>
      <c r="BH21">
        <v>0</v>
      </c>
      <c r="BI21" t="s">
        <v>94</v>
      </c>
      <c r="BJ21" t="s">
        <v>128</v>
      </c>
      <c r="BK21" t="s">
        <v>102</v>
      </c>
      <c r="BL21">
        <v>1</v>
      </c>
      <c r="BM21">
        <v>7560</v>
      </c>
      <c r="BN21">
        <v>2</v>
      </c>
      <c r="BP21">
        <v>0</v>
      </c>
      <c r="BQ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1401</v>
      </c>
      <c r="CE21">
        <v>0</v>
      </c>
      <c r="CF21">
        <v>0</v>
      </c>
      <c r="CG21">
        <v>0</v>
      </c>
      <c r="CI21">
        <v>0</v>
      </c>
      <c r="CJ21">
        <v>0</v>
      </c>
      <c r="CK21">
        <v>0</v>
      </c>
      <c r="CM21">
        <v>0</v>
      </c>
      <c r="CO21" t="s">
        <v>96</v>
      </c>
      <c r="CP21">
        <v>0</v>
      </c>
      <c r="CQ21">
        <v>0</v>
      </c>
      <c r="CR21" t="s">
        <v>104</v>
      </c>
      <c r="CS21" t="s">
        <v>105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 t="s">
        <v>106</v>
      </c>
      <c r="DD21" t="s">
        <v>107</v>
      </c>
      <c r="DG21" t="s">
        <v>107</v>
      </c>
      <c r="DI21" t="s">
        <v>107</v>
      </c>
      <c r="DO21" t="s">
        <v>97</v>
      </c>
      <c r="DP21">
        <v>140</v>
      </c>
      <c r="DQ21">
        <v>7560</v>
      </c>
    </row>
    <row r="22" spans="1:121" ht="12.75" customHeight="1">
      <c r="A22">
        <v>20</v>
      </c>
      <c r="B22">
        <v>0</v>
      </c>
      <c r="C22">
        <v>1</v>
      </c>
      <c r="E22" t="s">
        <v>129</v>
      </c>
      <c r="F22" t="s">
        <v>126</v>
      </c>
      <c r="G22" t="s">
        <v>130</v>
      </c>
      <c r="H22" t="s">
        <v>102</v>
      </c>
      <c r="I22">
        <v>3</v>
      </c>
      <c r="J22">
        <v>0</v>
      </c>
      <c r="O22">
        <f t="shared" si="6"/>
        <v>4028.94</v>
      </c>
      <c r="P22">
        <f t="shared" si="7"/>
        <v>707.8</v>
      </c>
      <c r="Q22">
        <f t="shared" si="8"/>
        <v>0</v>
      </c>
      <c r="R22">
        <f t="shared" si="9"/>
        <v>0</v>
      </c>
      <c r="S22">
        <f t="shared" si="10"/>
        <v>3321.14</v>
      </c>
      <c r="T22">
        <f t="shared" si="11"/>
        <v>0</v>
      </c>
      <c r="U22">
        <f t="shared" si="12"/>
        <v>75.6</v>
      </c>
      <c r="V22">
        <f t="shared" si="13"/>
        <v>0</v>
      </c>
      <c r="W22">
        <f t="shared" si="14"/>
        <v>0</v>
      </c>
      <c r="X22">
        <f t="shared" si="15"/>
        <v>3354.35</v>
      </c>
      <c r="Y22">
        <f t="shared" si="16"/>
        <v>1893.05</v>
      </c>
      <c r="AA22">
        <v>0</v>
      </c>
      <c r="AB22">
        <f t="shared" si="17"/>
        <v>376.7543999999999</v>
      </c>
      <c r="AC22">
        <f t="shared" si="18"/>
        <v>87.708</v>
      </c>
      <c r="AD22">
        <f t="shared" si="19"/>
        <v>0</v>
      </c>
      <c r="AE22">
        <f t="shared" si="20"/>
        <v>0</v>
      </c>
      <c r="AF22">
        <f>((AO22)*1.2)*0.4</f>
        <v>289.04639999999995</v>
      </c>
      <c r="AG22">
        <f t="shared" si="21"/>
        <v>0</v>
      </c>
      <c r="AH22">
        <f>((AQ22)*1.2)*0.4</f>
        <v>25.200000000000003</v>
      </c>
      <c r="AI22">
        <f t="shared" si="22"/>
        <v>0</v>
      </c>
      <c r="AJ22">
        <f t="shared" si="23"/>
        <v>0</v>
      </c>
      <c r="AK22">
        <v>675.27</v>
      </c>
      <c r="AL22">
        <v>73.09</v>
      </c>
      <c r="AM22">
        <v>0</v>
      </c>
      <c r="AN22">
        <v>0</v>
      </c>
      <c r="AO22">
        <v>602.18</v>
      </c>
      <c r="AP22">
        <v>0</v>
      </c>
      <c r="AQ22">
        <v>52.5</v>
      </c>
      <c r="AR22">
        <v>0</v>
      </c>
      <c r="AS22">
        <v>0</v>
      </c>
      <c r="AT22">
        <v>110</v>
      </c>
      <c r="AU22">
        <v>74</v>
      </c>
      <c r="AV22">
        <v>1</v>
      </c>
      <c r="AW22">
        <v>1</v>
      </c>
      <c r="AX22">
        <v>101</v>
      </c>
      <c r="AY22">
        <v>57</v>
      </c>
      <c r="AZ22">
        <v>3.83</v>
      </c>
      <c r="BA22">
        <v>3.83</v>
      </c>
      <c r="BB22">
        <v>1</v>
      </c>
      <c r="BC22">
        <v>2.69</v>
      </c>
      <c r="BH22">
        <v>0</v>
      </c>
      <c r="BI22" t="s">
        <v>94</v>
      </c>
      <c r="BJ22" t="s">
        <v>128</v>
      </c>
      <c r="BK22" t="s">
        <v>102</v>
      </c>
      <c r="BL22">
        <v>1</v>
      </c>
      <c r="BM22">
        <v>7560</v>
      </c>
      <c r="BN22">
        <v>2</v>
      </c>
      <c r="BP22">
        <v>0</v>
      </c>
      <c r="BQ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1401</v>
      </c>
      <c r="CE22">
        <v>0</v>
      </c>
      <c r="CF22">
        <v>0</v>
      </c>
      <c r="CG22">
        <v>0</v>
      </c>
      <c r="CI22">
        <v>0</v>
      </c>
      <c r="CJ22">
        <v>0</v>
      </c>
      <c r="CK22">
        <v>0</v>
      </c>
      <c r="CM22">
        <v>0</v>
      </c>
      <c r="CO22" t="s">
        <v>96</v>
      </c>
      <c r="CP22">
        <v>0</v>
      </c>
      <c r="CQ22">
        <v>0</v>
      </c>
      <c r="CR22" t="s">
        <v>104</v>
      </c>
      <c r="CS22" t="s">
        <v>105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0</v>
      </c>
      <c r="DB22" t="s">
        <v>106</v>
      </c>
      <c r="DD22" t="s">
        <v>107</v>
      </c>
      <c r="DG22" t="s">
        <v>118</v>
      </c>
      <c r="DI22" t="s">
        <v>118</v>
      </c>
      <c r="DO22" t="s">
        <v>97</v>
      </c>
      <c r="DP22">
        <v>140</v>
      </c>
      <c r="DQ22">
        <v>7560</v>
      </c>
    </row>
    <row r="23" spans="1:121" ht="12.75" customHeight="1">
      <c r="A23">
        <v>20</v>
      </c>
      <c r="B23">
        <v>0</v>
      </c>
      <c r="C23">
        <v>1</v>
      </c>
      <c r="E23" t="s">
        <v>105</v>
      </c>
      <c r="F23" t="s">
        <v>131</v>
      </c>
      <c r="G23" t="s">
        <v>132</v>
      </c>
      <c r="H23" t="s">
        <v>102</v>
      </c>
      <c r="I23">
        <v>8</v>
      </c>
      <c r="J23">
        <v>0</v>
      </c>
      <c r="O23">
        <f t="shared" si="6"/>
        <v>42770.93</v>
      </c>
      <c r="P23">
        <f t="shared" si="7"/>
        <v>4658.69</v>
      </c>
      <c r="Q23">
        <f t="shared" si="8"/>
        <v>0</v>
      </c>
      <c r="R23">
        <f t="shared" si="9"/>
        <v>0</v>
      </c>
      <c r="S23">
        <f t="shared" si="10"/>
        <v>38112.24</v>
      </c>
      <c r="T23">
        <f t="shared" si="11"/>
        <v>0</v>
      </c>
      <c r="U23">
        <f t="shared" si="12"/>
        <v>806.4</v>
      </c>
      <c r="V23">
        <f t="shared" si="13"/>
        <v>0</v>
      </c>
      <c r="W23">
        <f t="shared" si="14"/>
        <v>0</v>
      </c>
      <c r="X23">
        <f t="shared" si="15"/>
        <v>38493.36</v>
      </c>
      <c r="Y23">
        <f t="shared" si="16"/>
        <v>21723.98</v>
      </c>
      <c r="AA23">
        <v>0</v>
      </c>
      <c r="AB23">
        <f t="shared" si="17"/>
        <v>1396.716</v>
      </c>
      <c r="AC23">
        <f t="shared" si="18"/>
        <v>152.844</v>
      </c>
      <c r="AD23">
        <f t="shared" si="19"/>
        <v>0</v>
      </c>
      <c r="AE23">
        <f t="shared" si="20"/>
        <v>0</v>
      </c>
      <c r="AF23">
        <f>(AO23)*1.2</f>
        <v>1243.8719999999998</v>
      </c>
      <c r="AG23">
        <f t="shared" si="21"/>
        <v>0</v>
      </c>
      <c r="AH23">
        <f>(AQ23)*1.2</f>
        <v>100.8</v>
      </c>
      <c r="AI23">
        <f t="shared" si="22"/>
        <v>0</v>
      </c>
      <c r="AJ23">
        <f t="shared" si="23"/>
        <v>0</v>
      </c>
      <c r="AK23">
        <v>1163.93</v>
      </c>
      <c r="AL23">
        <v>127.37</v>
      </c>
      <c r="AM23">
        <v>0</v>
      </c>
      <c r="AN23">
        <v>0</v>
      </c>
      <c r="AO23">
        <v>1036.56</v>
      </c>
      <c r="AP23">
        <v>0</v>
      </c>
      <c r="AQ23">
        <v>84</v>
      </c>
      <c r="AR23">
        <v>0</v>
      </c>
      <c r="AS23">
        <v>0</v>
      </c>
      <c r="AT23">
        <v>110</v>
      </c>
      <c r="AU23">
        <v>74</v>
      </c>
      <c r="AV23">
        <v>1</v>
      </c>
      <c r="AW23">
        <v>1</v>
      </c>
      <c r="AX23">
        <v>101</v>
      </c>
      <c r="AY23">
        <v>57</v>
      </c>
      <c r="AZ23">
        <v>3.83</v>
      </c>
      <c r="BA23">
        <v>3.83</v>
      </c>
      <c r="BB23">
        <v>1</v>
      </c>
      <c r="BC23">
        <v>3.81</v>
      </c>
      <c r="BH23">
        <v>0</v>
      </c>
      <c r="BI23" t="s">
        <v>94</v>
      </c>
      <c r="BJ23" t="s">
        <v>133</v>
      </c>
      <c r="BK23" t="s">
        <v>102</v>
      </c>
      <c r="BL23">
        <v>1</v>
      </c>
      <c r="BM23">
        <v>7560</v>
      </c>
      <c r="BN23">
        <v>2</v>
      </c>
      <c r="BP23">
        <v>0</v>
      </c>
      <c r="BQ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1401</v>
      </c>
      <c r="CE23">
        <v>0</v>
      </c>
      <c r="CF23">
        <v>0</v>
      </c>
      <c r="CG23">
        <v>0</v>
      </c>
      <c r="CI23">
        <v>0</v>
      </c>
      <c r="CJ23">
        <v>0</v>
      </c>
      <c r="CK23">
        <v>0</v>
      </c>
      <c r="CM23">
        <v>0</v>
      </c>
      <c r="CO23" t="s">
        <v>96</v>
      </c>
      <c r="CP23">
        <v>0</v>
      </c>
      <c r="CQ23">
        <v>0</v>
      </c>
      <c r="CR23" t="s">
        <v>104</v>
      </c>
      <c r="CS23" t="s">
        <v>105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 t="s">
        <v>106</v>
      </c>
      <c r="DD23" t="s">
        <v>107</v>
      </c>
      <c r="DG23" t="s">
        <v>107</v>
      </c>
      <c r="DI23" t="s">
        <v>107</v>
      </c>
      <c r="DO23" t="s">
        <v>97</v>
      </c>
      <c r="DP23">
        <v>140</v>
      </c>
      <c r="DQ23">
        <v>7560</v>
      </c>
    </row>
    <row r="24" spans="1:121" ht="12.75" customHeight="1">
      <c r="A24">
        <v>20</v>
      </c>
      <c r="B24">
        <v>0</v>
      </c>
      <c r="C24">
        <v>1</v>
      </c>
      <c r="E24" t="s">
        <v>134</v>
      </c>
      <c r="F24" t="s">
        <v>131</v>
      </c>
      <c r="G24" t="s">
        <v>135</v>
      </c>
      <c r="H24" t="s">
        <v>102</v>
      </c>
      <c r="I24">
        <v>8</v>
      </c>
      <c r="J24">
        <v>0</v>
      </c>
      <c r="O24">
        <f t="shared" si="6"/>
        <v>19903.59</v>
      </c>
      <c r="P24">
        <f t="shared" si="7"/>
        <v>4658.69</v>
      </c>
      <c r="Q24">
        <f t="shared" si="8"/>
        <v>0</v>
      </c>
      <c r="R24">
        <f t="shared" si="9"/>
        <v>0</v>
      </c>
      <c r="S24">
        <f t="shared" si="10"/>
        <v>15244.9</v>
      </c>
      <c r="T24">
        <f t="shared" si="11"/>
        <v>0</v>
      </c>
      <c r="U24">
        <f t="shared" si="12"/>
        <v>322.56</v>
      </c>
      <c r="V24">
        <f t="shared" si="13"/>
        <v>0</v>
      </c>
      <c r="W24">
        <f t="shared" si="14"/>
        <v>0</v>
      </c>
      <c r="X24">
        <f t="shared" si="15"/>
        <v>15397.35</v>
      </c>
      <c r="Y24">
        <f t="shared" si="16"/>
        <v>8689.59</v>
      </c>
      <c r="AA24">
        <v>0</v>
      </c>
      <c r="AB24">
        <f t="shared" si="17"/>
        <v>650.3928</v>
      </c>
      <c r="AC24">
        <f t="shared" si="18"/>
        <v>152.844</v>
      </c>
      <c r="AD24">
        <f t="shared" si="19"/>
        <v>0</v>
      </c>
      <c r="AE24">
        <f t="shared" si="20"/>
        <v>0</v>
      </c>
      <c r="AF24">
        <f>((AO24)*1.2)*0.4</f>
        <v>497.54879999999997</v>
      </c>
      <c r="AG24">
        <f t="shared" si="21"/>
        <v>0</v>
      </c>
      <c r="AH24">
        <f>((AQ24)*1.2)*0.4</f>
        <v>40.32</v>
      </c>
      <c r="AI24">
        <f t="shared" si="22"/>
        <v>0</v>
      </c>
      <c r="AJ24">
        <f t="shared" si="23"/>
        <v>0</v>
      </c>
      <c r="AK24">
        <v>1163.93</v>
      </c>
      <c r="AL24">
        <v>127.37</v>
      </c>
      <c r="AM24">
        <v>0</v>
      </c>
      <c r="AN24">
        <v>0</v>
      </c>
      <c r="AO24">
        <v>1036.56</v>
      </c>
      <c r="AP24">
        <v>0</v>
      </c>
      <c r="AQ24">
        <v>84</v>
      </c>
      <c r="AR24">
        <v>0</v>
      </c>
      <c r="AS24">
        <v>0</v>
      </c>
      <c r="AT24">
        <v>110</v>
      </c>
      <c r="AU24">
        <v>74</v>
      </c>
      <c r="AV24">
        <v>1</v>
      </c>
      <c r="AW24">
        <v>1</v>
      </c>
      <c r="AX24">
        <v>101</v>
      </c>
      <c r="AY24">
        <v>57</v>
      </c>
      <c r="AZ24">
        <v>3.83</v>
      </c>
      <c r="BA24">
        <v>3.83</v>
      </c>
      <c r="BB24">
        <v>1</v>
      </c>
      <c r="BC24">
        <v>3.81</v>
      </c>
      <c r="BH24">
        <v>0</v>
      </c>
      <c r="BI24" t="s">
        <v>94</v>
      </c>
      <c r="BJ24" t="s">
        <v>133</v>
      </c>
      <c r="BK24" t="s">
        <v>102</v>
      </c>
      <c r="BL24">
        <v>1</v>
      </c>
      <c r="BM24">
        <v>7560</v>
      </c>
      <c r="BN24">
        <v>2</v>
      </c>
      <c r="BP24">
        <v>0</v>
      </c>
      <c r="BQ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1401</v>
      </c>
      <c r="CE24">
        <v>0</v>
      </c>
      <c r="CF24">
        <v>0</v>
      </c>
      <c r="CG24">
        <v>0</v>
      </c>
      <c r="CI24">
        <v>0</v>
      </c>
      <c r="CJ24">
        <v>0</v>
      </c>
      <c r="CK24">
        <v>0</v>
      </c>
      <c r="CM24">
        <v>0</v>
      </c>
      <c r="CO24" t="s">
        <v>96</v>
      </c>
      <c r="CP24">
        <v>0</v>
      </c>
      <c r="CQ24">
        <v>0</v>
      </c>
      <c r="CR24" t="s">
        <v>104</v>
      </c>
      <c r="CS24" t="s">
        <v>105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 t="s">
        <v>106</v>
      </c>
      <c r="DD24" t="s">
        <v>107</v>
      </c>
      <c r="DG24" t="s">
        <v>118</v>
      </c>
      <c r="DI24" t="s">
        <v>118</v>
      </c>
      <c r="DO24" t="s">
        <v>97</v>
      </c>
      <c r="DP24">
        <v>140</v>
      </c>
      <c r="DQ24">
        <v>7560</v>
      </c>
    </row>
    <row r="25" spans="1:121" ht="12.75" customHeight="1">
      <c r="A25">
        <v>20</v>
      </c>
      <c r="B25">
        <v>0</v>
      </c>
      <c r="C25">
        <v>1</v>
      </c>
      <c r="E25" t="s">
        <v>136</v>
      </c>
      <c r="F25" t="s">
        <v>137</v>
      </c>
      <c r="G25" t="s">
        <v>138</v>
      </c>
      <c r="H25" t="s">
        <v>102</v>
      </c>
      <c r="I25">
        <v>4</v>
      </c>
      <c r="J25">
        <v>0</v>
      </c>
      <c r="O25">
        <f t="shared" si="6"/>
        <v>28530.84</v>
      </c>
      <c r="P25">
        <f t="shared" si="7"/>
        <v>3349.54</v>
      </c>
      <c r="Q25">
        <f t="shared" si="8"/>
        <v>0</v>
      </c>
      <c r="R25">
        <f t="shared" si="9"/>
        <v>0</v>
      </c>
      <c r="S25">
        <f t="shared" si="10"/>
        <v>25181.3</v>
      </c>
      <c r="T25">
        <f t="shared" si="11"/>
        <v>0</v>
      </c>
      <c r="U25">
        <f t="shared" si="12"/>
        <v>532.8</v>
      </c>
      <c r="V25">
        <f t="shared" si="13"/>
        <v>0</v>
      </c>
      <c r="W25">
        <f t="shared" si="14"/>
        <v>0</v>
      </c>
      <c r="X25">
        <f t="shared" si="15"/>
        <v>25433.11</v>
      </c>
      <c r="Y25">
        <f t="shared" si="16"/>
        <v>14353.34</v>
      </c>
      <c r="AA25">
        <v>0</v>
      </c>
      <c r="AB25">
        <f t="shared" si="17"/>
        <v>1870.0079999999998</v>
      </c>
      <c r="AC25">
        <f t="shared" si="18"/>
        <v>226.32</v>
      </c>
      <c r="AD25">
        <f t="shared" si="19"/>
        <v>0</v>
      </c>
      <c r="AE25">
        <f t="shared" si="20"/>
        <v>0</v>
      </c>
      <c r="AF25">
        <f>(AO25)*1.2</f>
        <v>1643.6879999999999</v>
      </c>
      <c r="AG25">
        <f t="shared" si="21"/>
        <v>0</v>
      </c>
      <c r="AH25">
        <f>(AQ25)*1.2</f>
        <v>133.2</v>
      </c>
      <c r="AI25">
        <f t="shared" si="22"/>
        <v>0</v>
      </c>
      <c r="AJ25">
        <f t="shared" si="23"/>
        <v>0</v>
      </c>
      <c r="AK25">
        <v>1558.34</v>
      </c>
      <c r="AL25">
        <v>188.6</v>
      </c>
      <c r="AM25">
        <v>0</v>
      </c>
      <c r="AN25">
        <v>0</v>
      </c>
      <c r="AO25">
        <v>1369.74</v>
      </c>
      <c r="AP25">
        <v>0</v>
      </c>
      <c r="AQ25">
        <v>111</v>
      </c>
      <c r="AR25">
        <v>0</v>
      </c>
      <c r="AS25">
        <v>0</v>
      </c>
      <c r="AT25">
        <v>110</v>
      </c>
      <c r="AU25">
        <v>74</v>
      </c>
      <c r="AV25">
        <v>1</v>
      </c>
      <c r="AW25">
        <v>1</v>
      </c>
      <c r="AX25">
        <v>101</v>
      </c>
      <c r="AY25">
        <v>57</v>
      </c>
      <c r="AZ25">
        <v>3.83</v>
      </c>
      <c r="BA25">
        <v>3.83</v>
      </c>
      <c r="BB25">
        <v>1</v>
      </c>
      <c r="BC25">
        <v>3.7</v>
      </c>
      <c r="BH25">
        <v>0</v>
      </c>
      <c r="BI25" t="s">
        <v>94</v>
      </c>
      <c r="BJ25" t="s">
        <v>139</v>
      </c>
      <c r="BK25" t="s">
        <v>102</v>
      </c>
      <c r="BL25">
        <v>1</v>
      </c>
      <c r="BM25">
        <v>7560</v>
      </c>
      <c r="BN25">
        <v>2</v>
      </c>
      <c r="BP25">
        <v>0</v>
      </c>
      <c r="BQ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1401</v>
      </c>
      <c r="CE25">
        <v>0</v>
      </c>
      <c r="CF25">
        <v>0</v>
      </c>
      <c r="CG25">
        <v>0</v>
      </c>
      <c r="CI25">
        <v>0</v>
      </c>
      <c r="CJ25">
        <v>0</v>
      </c>
      <c r="CK25">
        <v>0</v>
      </c>
      <c r="CM25">
        <v>0</v>
      </c>
      <c r="CO25" t="s">
        <v>96</v>
      </c>
      <c r="CP25">
        <v>0</v>
      </c>
      <c r="CQ25">
        <v>0</v>
      </c>
      <c r="CR25" t="s">
        <v>104</v>
      </c>
      <c r="CS25" t="s">
        <v>105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 t="s">
        <v>106</v>
      </c>
      <c r="DD25" t="s">
        <v>107</v>
      </c>
      <c r="DG25" t="s">
        <v>107</v>
      </c>
      <c r="DI25" t="s">
        <v>107</v>
      </c>
      <c r="DO25" t="s">
        <v>97</v>
      </c>
      <c r="DP25">
        <v>140</v>
      </c>
      <c r="DQ25">
        <v>7560</v>
      </c>
    </row>
    <row r="26" spans="1:121" ht="12.75" customHeight="1">
      <c r="A26">
        <v>20</v>
      </c>
      <c r="B26">
        <v>0</v>
      </c>
      <c r="C26">
        <v>1</v>
      </c>
      <c r="E26" t="s">
        <v>140</v>
      </c>
      <c r="F26" t="s">
        <v>137</v>
      </c>
      <c r="G26" t="s">
        <v>141</v>
      </c>
      <c r="H26" t="s">
        <v>102</v>
      </c>
      <c r="I26">
        <v>4</v>
      </c>
      <c r="J26">
        <v>0</v>
      </c>
      <c r="O26">
        <f t="shared" si="6"/>
        <v>13422.06</v>
      </c>
      <c r="P26">
        <f t="shared" si="7"/>
        <v>3349.54</v>
      </c>
      <c r="Q26">
        <f t="shared" si="8"/>
        <v>0</v>
      </c>
      <c r="R26">
        <f t="shared" si="9"/>
        <v>0</v>
      </c>
      <c r="S26">
        <f t="shared" si="10"/>
        <v>10072.52</v>
      </c>
      <c r="T26">
        <f t="shared" si="11"/>
        <v>0</v>
      </c>
      <c r="U26">
        <f t="shared" si="12"/>
        <v>213.12</v>
      </c>
      <c r="V26">
        <f t="shared" si="13"/>
        <v>0</v>
      </c>
      <c r="W26">
        <f t="shared" si="14"/>
        <v>0</v>
      </c>
      <c r="X26">
        <f t="shared" si="15"/>
        <v>10173.25</v>
      </c>
      <c r="Y26">
        <f t="shared" si="16"/>
        <v>5741.34</v>
      </c>
      <c r="AA26">
        <v>0</v>
      </c>
      <c r="AB26">
        <f t="shared" si="17"/>
        <v>883.7952</v>
      </c>
      <c r="AC26">
        <f t="shared" si="18"/>
        <v>226.32</v>
      </c>
      <c r="AD26">
        <f t="shared" si="19"/>
        <v>0</v>
      </c>
      <c r="AE26">
        <f t="shared" si="20"/>
        <v>0</v>
      </c>
      <c r="AF26">
        <f>((AO26)*1.2)*0.4</f>
        <v>657.4752</v>
      </c>
      <c r="AG26">
        <f t="shared" si="21"/>
        <v>0</v>
      </c>
      <c r="AH26">
        <f>((AQ26)*1.2)*0.4</f>
        <v>53.28</v>
      </c>
      <c r="AI26">
        <f t="shared" si="22"/>
        <v>0</v>
      </c>
      <c r="AJ26">
        <f t="shared" si="23"/>
        <v>0</v>
      </c>
      <c r="AK26">
        <v>1558.34</v>
      </c>
      <c r="AL26">
        <v>188.6</v>
      </c>
      <c r="AM26">
        <v>0</v>
      </c>
      <c r="AN26">
        <v>0</v>
      </c>
      <c r="AO26">
        <v>1369.74</v>
      </c>
      <c r="AP26">
        <v>0</v>
      </c>
      <c r="AQ26">
        <v>111</v>
      </c>
      <c r="AR26">
        <v>0</v>
      </c>
      <c r="AS26">
        <v>0</v>
      </c>
      <c r="AT26">
        <v>110</v>
      </c>
      <c r="AU26">
        <v>74</v>
      </c>
      <c r="AV26">
        <v>1</v>
      </c>
      <c r="AW26">
        <v>1</v>
      </c>
      <c r="AX26">
        <v>101</v>
      </c>
      <c r="AY26">
        <v>57</v>
      </c>
      <c r="AZ26">
        <v>3.83</v>
      </c>
      <c r="BA26">
        <v>3.83</v>
      </c>
      <c r="BB26">
        <v>1</v>
      </c>
      <c r="BC26">
        <v>3.7</v>
      </c>
      <c r="BH26">
        <v>0</v>
      </c>
      <c r="BI26" t="s">
        <v>94</v>
      </c>
      <c r="BJ26" t="s">
        <v>139</v>
      </c>
      <c r="BK26" t="s">
        <v>102</v>
      </c>
      <c r="BL26">
        <v>1</v>
      </c>
      <c r="BM26">
        <v>7560</v>
      </c>
      <c r="BN26">
        <v>2</v>
      </c>
      <c r="BP26">
        <v>0</v>
      </c>
      <c r="BQ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1401</v>
      </c>
      <c r="CE26">
        <v>0</v>
      </c>
      <c r="CF26">
        <v>0</v>
      </c>
      <c r="CG26">
        <v>0</v>
      </c>
      <c r="CI26">
        <v>0</v>
      </c>
      <c r="CJ26">
        <v>0</v>
      </c>
      <c r="CK26">
        <v>0</v>
      </c>
      <c r="CM26">
        <v>0</v>
      </c>
      <c r="CO26" t="s">
        <v>96</v>
      </c>
      <c r="CP26">
        <v>0</v>
      </c>
      <c r="CQ26">
        <v>0</v>
      </c>
      <c r="CR26" t="s">
        <v>104</v>
      </c>
      <c r="CS26" t="s">
        <v>105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 t="s">
        <v>106</v>
      </c>
      <c r="DD26" t="s">
        <v>107</v>
      </c>
      <c r="DG26" t="s">
        <v>118</v>
      </c>
      <c r="DI26" t="s">
        <v>118</v>
      </c>
      <c r="DO26" t="s">
        <v>97</v>
      </c>
      <c r="DP26">
        <v>140</v>
      </c>
      <c r="DQ26">
        <v>7560</v>
      </c>
    </row>
    <row r="27" spans="1:121" ht="12.75" customHeight="1">
      <c r="A27">
        <v>20</v>
      </c>
      <c r="B27">
        <v>0</v>
      </c>
      <c r="C27">
        <v>1</v>
      </c>
      <c r="E27" t="s">
        <v>142</v>
      </c>
      <c r="F27" t="s">
        <v>143</v>
      </c>
      <c r="G27" t="s">
        <v>144</v>
      </c>
      <c r="H27" t="s">
        <v>102</v>
      </c>
      <c r="I27">
        <v>136</v>
      </c>
      <c r="J27">
        <v>0</v>
      </c>
      <c r="O27">
        <f t="shared" si="6"/>
        <v>434933.36</v>
      </c>
      <c r="P27">
        <f t="shared" si="7"/>
        <v>21695.09</v>
      </c>
      <c r="Q27">
        <f t="shared" si="8"/>
        <v>0</v>
      </c>
      <c r="R27">
        <f t="shared" si="9"/>
        <v>0</v>
      </c>
      <c r="S27">
        <f t="shared" si="10"/>
        <v>413238.27</v>
      </c>
      <c r="T27">
        <f t="shared" si="11"/>
        <v>0</v>
      </c>
      <c r="U27">
        <f t="shared" si="12"/>
        <v>7539.84</v>
      </c>
      <c r="V27">
        <f t="shared" si="13"/>
        <v>0</v>
      </c>
      <c r="W27">
        <f t="shared" si="14"/>
        <v>0</v>
      </c>
      <c r="X27">
        <f t="shared" si="15"/>
        <v>417370.65</v>
      </c>
      <c r="Y27">
        <f t="shared" si="16"/>
        <v>235545.81</v>
      </c>
      <c r="AA27">
        <v>0</v>
      </c>
      <c r="AB27">
        <f t="shared" si="17"/>
        <v>859.5384</v>
      </c>
      <c r="AC27">
        <f t="shared" si="18"/>
        <v>66.192</v>
      </c>
      <c r="AD27">
        <f t="shared" si="19"/>
        <v>0</v>
      </c>
      <c r="AE27">
        <f t="shared" si="20"/>
        <v>0</v>
      </c>
      <c r="AF27">
        <f>((AO27)*1.2)*1.1</f>
        <v>793.3464</v>
      </c>
      <c r="AG27">
        <f t="shared" si="21"/>
        <v>0</v>
      </c>
      <c r="AH27">
        <f>((AQ27)*1.2)*1.1</f>
        <v>55.440000000000005</v>
      </c>
      <c r="AI27">
        <f t="shared" si="22"/>
        <v>0</v>
      </c>
      <c r="AJ27">
        <f t="shared" si="23"/>
        <v>0</v>
      </c>
      <c r="AK27">
        <v>656.18</v>
      </c>
      <c r="AL27">
        <v>55.16</v>
      </c>
      <c r="AM27">
        <v>0</v>
      </c>
      <c r="AN27">
        <v>0</v>
      </c>
      <c r="AO27">
        <v>601.02</v>
      </c>
      <c r="AP27">
        <v>0</v>
      </c>
      <c r="AQ27">
        <v>42</v>
      </c>
      <c r="AR27">
        <v>0</v>
      </c>
      <c r="AS27">
        <v>0</v>
      </c>
      <c r="AT27">
        <v>110</v>
      </c>
      <c r="AU27">
        <v>74</v>
      </c>
      <c r="AV27">
        <v>1</v>
      </c>
      <c r="AW27">
        <v>1</v>
      </c>
      <c r="AX27">
        <v>101</v>
      </c>
      <c r="AY27">
        <v>57</v>
      </c>
      <c r="AZ27">
        <v>3.83</v>
      </c>
      <c r="BA27">
        <v>3.83</v>
      </c>
      <c r="BB27">
        <v>1</v>
      </c>
      <c r="BC27">
        <v>2.41</v>
      </c>
      <c r="BH27">
        <v>0</v>
      </c>
      <c r="BI27" t="s">
        <v>94</v>
      </c>
      <c r="BJ27" t="s">
        <v>145</v>
      </c>
      <c r="BK27" t="s">
        <v>102</v>
      </c>
      <c r="BL27">
        <v>1</v>
      </c>
      <c r="BM27">
        <v>7560</v>
      </c>
      <c r="BN27">
        <v>2</v>
      </c>
      <c r="BP27">
        <v>0</v>
      </c>
      <c r="BQ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1401</v>
      </c>
      <c r="CE27">
        <v>0</v>
      </c>
      <c r="CF27">
        <v>0</v>
      </c>
      <c r="CG27">
        <v>0</v>
      </c>
      <c r="CI27">
        <v>0</v>
      </c>
      <c r="CJ27">
        <v>0</v>
      </c>
      <c r="CK27">
        <v>0</v>
      </c>
      <c r="CM27">
        <v>0</v>
      </c>
      <c r="CO27" t="s">
        <v>96</v>
      </c>
      <c r="CP27">
        <v>0</v>
      </c>
      <c r="CQ27">
        <v>0</v>
      </c>
      <c r="CR27" t="s">
        <v>104</v>
      </c>
      <c r="CS27" t="s">
        <v>105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 t="s">
        <v>106</v>
      </c>
      <c r="DD27" t="s">
        <v>107</v>
      </c>
      <c r="DG27" t="s">
        <v>146</v>
      </c>
      <c r="DI27" t="s">
        <v>146</v>
      </c>
      <c r="DO27" t="s">
        <v>97</v>
      </c>
      <c r="DP27">
        <v>140</v>
      </c>
      <c r="DQ27">
        <v>7560</v>
      </c>
    </row>
    <row r="28" spans="1:121" ht="12.75" customHeight="1">
      <c r="A28">
        <v>20</v>
      </c>
      <c r="B28">
        <v>0</v>
      </c>
      <c r="C28">
        <v>1</v>
      </c>
      <c r="E28" t="s">
        <v>147</v>
      </c>
      <c r="F28" t="s">
        <v>143</v>
      </c>
      <c r="G28" t="s">
        <v>148</v>
      </c>
      <c r="H28" t="s">
        <v>102</v>
      </c>
      <c r="I28">
        <v>136</v>
      </c>
      <c r="J28">
        <v>0</v>
      </c>
      <c r="O28">
        <f t="shared" si="6"/>
        <v>186990.4</v>
      </c>
      <c r="P28">
        <f t="shared" si="7"/>
        <v>21695.09</v>
      </c>
      <c r="Q28">
        <f t="shared" si="8"/>
        <v>0</v>
      </c>
      <c r="R28">
        <f t="shared" si="9"/>
        <v>0</v>
      </c>
      <c r="S28">
        <f t="shared" si="10"/>
        <v>165295.31</v>
      </c>
      <c r="T28">
        <f t="shared" si="11"/>
        <v>0</v>
      </c>
      <c r="U28">
        <f t="shared" si="12"/>
        <v>3015.94</v>
      </c>
      <c r="V28">
        <f t="shared" si="13"/>
        <v>0</v>
      </c>
      <c r="W28">
        <f t="shared" si="14"/>
        <v>0</v>
      </c>
      <c r="X28">
        <f t="shared" si="15"/>
        <v>166948.26</v>
      </c>
      <c r="Y28">
        <f t="shared" si="16"/>
        <v>94218.33</v>
      </c>
      <c r="AA28">
        <v>0</v>
      </c>
      <c r="AB28">
        <f t="shared" si="17"/>
        <v>383.53056000000004</v>
      </c>
      <c r="AC28">
        <f t="shared" si="18"/>
        <v>66.192</v>
      </c>
      <c r="AD28">
        <f t="shared" si="19"/>
        <v>0</v>
      </c>
      <c r="AE28">
        <f t="shared" si="20"/>
        <v>0</v>
      </c>
      <c r="AF28">
        <f>(((AO28)*1.2)*1.1)*0.4</f>
        <v>317.33856000000003</v>
      </c>
      <c r="AG28">
        <f t="shared" si="21"/>
        <v>0</v>
      </c>
      <c r="AH28">
        <f>(((AQ28)*1.2)*1.1)*0.4</f>
        <v>22.176000000000002</v>
      </c>
      <c r="AI28">
        <f t="shared" si="22"/>
        <v>0</v>
      </c>
      <c r="AJ28">
        <f t="shared" si="23"/>
        <v>0</v>
      </c>
      <c r="AK28">
        <v>656.18</v>
      </c>
      <c r="AL28">
        <v>55.16</v>
      </c>
      <c r="AM28">
        <v>0</v>
      </c>
      <c r="AN28">
        <v>0</v>
      </c>
      <c r="AO28">
        <v>601.02</v>
      </c>
      <c r="AP28">
        <v>0</v>
      </c>
      <c r="AQ28">
        <v>42</v>
      </c>
      <c r="AR28">
        <v>0</v>
      </c>
      <c r="AS28">
        <v>0</v>
      </c>
      <c r="AT28">
        <v>110</v>
      </c>
      <c r="AU28">
        <v>74</v>
      </c>
      <c r="AV28">
        <v>1</v>
      </c>
      <c r="AW28">
        <v>1</v>
      </c>
      <c r="AX28">
        <v>101</v>
      </c>
      <c r="AY28">
        <v>57</v>
      </c>
      <c r="AZ28">
        <v>3.83</v>
      </c>
      <c r="BA28">
        <v>3.83</v>
      </c>
      <c r="BB28">
        <v>1</v>
      </c>
      <c r="BC28">
        <v>2.41</v>
      </c>
      <c r="BH28">
        <v>0</v>
      </c>
      <c r="BI28" t="s">
        <v>94</v>
      </c>
      <c r="BJ28" t="s">
        <v>145</v>
      </c>
      <c r="BK28" t="s">
        <v>102</v>
      </c>
      <c r="BL28">
        <v>1</v>
      </c>
      <c r="BM28">
        <v>7560</v>
      </c>
      <c r="BN28">
        <v>2</v>
      </c>
      <c r="BP28">
        <v>0</v>
      </c>
      <c r="BQ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1401</v>
      </c>
      <c r="CE28">
        <v>0</v>
      </c>
      <c r="CF28">
        <v>0</v>
      </c>
      <c r="CG28">
        <v>0</v>
      </c>
      <c r="CI28">
        <v>0</v>
      </c>
      <c r="CJ28">
        <v>0</v>
      </c>
      <c r="CK28">
        <v>0</v>
      </c>
      <c r="CM28">
        <v>0</v>
      </c>
      <c r="CO28" t="s">
        <v>96</v>
      </c>
      <c r="CP28">
        <v>0</v>
      </c>
      <c r="CQ28">
        <v>0</v>
      </c>
      <c r="CR28" t="s">
        <v>104</v>
      </c>
      <c r="CS28" t="s">
        <v>105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 t="s">
        <v>106</v>
      </c>
      <c r="DD28" t="s">
        <v>107</v>
      </c>
      <c r="DG28" t="s">
        <v>149</v>
      </c>
      <c r="DI28" t="s">
        <v>149</v>
      </c>
      <c r="DO28" t="s">
        <v>97</v>
      </c>
      <c r="DP28">
        <v>140</v>
      </c>
      <c r="DQ28">
        <v>7560</v>
      </c>
    </row>
    <row r="29" spans="1:100" ht="12.75" customHeight="1">
      <c r="A29" s="2">
        <v>51</v>
      </c>
      <c r="B29" s="2">
        <v>2</v>
      </c>
      <c r="C29" s="2">
        <f>C13</f>
        <v>1</v>
      </c>
      <c r="D29" s="2">
        <f>ROW(A13)</f>
        <v>13</v>
      </c>
      <c r="E29" s="2" t="str">
        <f>E13</f>
        <v>РАЗДЕЛ 1</v>
      </c>
      <c r="F29" s="2"/>
      <c r="G29" s="2"/>
      <c r="H29" s="2"/>
      <c r="I29" s="2"/>
      <c r="J29" s="2"/>
      <c r="K29" s="2"/>
      <c r="L29" s="2"/>
      <c r="M29" s="2"/>
      <c r="N29" s="2"/>
      <c r="O29" s="2">
        <f aca="true" t="shared" si="24" ref="O29:Y29">AB29</f>
        <v>842049.39</v>
      </c>
      <c r="P29" s="2">
        <f t="shared" si="24"/>
        <v>70117.3</v>
      </c>
      <c r="Q29" s="2">
        <f t="shared" si="24"/>
        <v>0</v>
      </c>
      <c r="R29" s="2">
        <f t="shared" si="24"/>
        <v>0</v>
      </c>
      <c r="S29" s="2">
        <f t="shared" si="24"/>
        <v>771932.09</v>
      </c>
      <c r="T29" s="2">
        <f t="shared" si="24"/>
        <v>0</v>
      </c>
      <c r="U29" s="2">
        <f t="shared" si="24"/>
        <v>14561.4</v>
      </c>
      <c r="V29" s="2">
        <f t="shared" si="24"/>
        <v>0</v>
      </c>
      <c r="W29" s="2">
        <f t="shared" si="24"/>
        <v>0</v>
      </c>
      <c r="X29" s="2">
        <f t="shared" si="24"/>
        <v>779651.4</v>
      </c>
      <c r="Y29" s="2">
        <f t="shared" si="24"/>
        <v>440001.29</v>
      </c>
      <c r="Z29" s="2"/>
      <c r="AA29" s="2"/>
      <c r="AB29" s="2">
        <f>ROUND(SUMIF(AA15:AA28,"=0",O15:O28),2)</f>
        <v>842049.39</v>
      </c>
      <c r="AC29" s="2">
        <f>ROUND(SUMIF(AA15:AA28,"=0",P15:P28),2)</f>
        <v>70117.3</v>
      </c>
      <c r="AD29" s="2">
        <f>ROUND(SUMIF(AA15:AA28,"=0",Q15:Q28),2)</f>
        <v>0</v>
      </c>
      <c r="AE29" s="2">
        <f>ROUND(SUMIF(AA15:AA28,"=0",R15:R28),2)</f>
        <v>0</v>
      </c>
      <c r="AF29" s="2">
        <f>ROUND(SUMIF(AA15:AA28,"=0",S15:S28),2)</f>
        <v>771932.09</v>
      </c>
      <c r="AG29" s="2">
        <f>ROUND(SUMIF(AA15:AA28,"=0",T15:T28),2)</f>
        <v>0</v>
      </c>
      <c r="AH29" s="2">
        <f>ROUND(SUMIF(AA15:AA28,"=0",U15:U28),2)</f>
        <v>14561.4</v>
      </c>
      <c r="AI29" s="2">
        <f>ROUND(SUMIF(AA15:AA28,"=0",V15:V28),2)</f>
        <v>0</v>
      </c>
      <c r="AJ29" s="2">
        <f>ROUND(SUMIF(AA15:AA28,"=0",W15:W28),2)</f>
        <v>0</v>
      </c>
      <c r="AK29" s="2">
        <f>ROUND(SUMIF(AA15:AA28,"=0",X15:X28),2)</f>
        <v>779651.4</v>
      </c>
      <c r="AL29" s="2">
        <f>ROUND(SUMIF(AA15:AA28,"=0",Y15:Y28),2)</f>
        <v>440001.29</v>
      </c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</row>
    <row r="30" spans="1:100" ht="12.75" customHeight="1">
      <c r="A30" s="3">
        <v>50</v>
      </c>
      <c r="B30" s="3">
        <v>1</v>
      </c>
      <c r="C30" s="3">
        <v>0</v>
      </c>
      <c r="D30" s="3"/>
      <c r="E30" s="3" t="s">
        <v>150</v>
      </c>
      <c r="F30" s="3" t="s">
        <v>151</v>
      </c>
      <c r="G30" s="3">
        <f>O29</f>
        <v>842049.39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</row>
    <row r="31" spans="1:100" ht="12.75" customHeight="1">
      <c r="A31" s="3">
        <v>50</v>
      </c>
      <c r="B31" s="3">
        <v>1</v>
      </c>
      <c r="C31" s="3">
        <v>0</v>
      </c>
      <c r="D31" s="3"/>
      <c r="E31" s="3" t="s">
        <v>152</v>
      </c>
      <c r="F31" s="3" t="s">
        <v>153</v>
      </c>
      <c r="G31" s="3">
        <f>R29</f>
        <v>0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</row>
    <row r="32" spans="1:100" ht="12.75" customHeight="1">
      <c r="A32" s="3">
        <v>50</v>
      </c>
      <c r="B32" s="3">
        <v>1</v>
      </c>
      <c r="C32" s="3">
        <v>0</v>
      </c>
      <c r="D32" s="3"/>
      <c r="E32" s="3" t="s">
        <v>154</v>
      </c>
      <c r="F32" s="3" t="s">
        <v>155</v>
      </c>
      <c r="G32" s="3">
        <f>X29</f>
        <v>779651.4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</row>
    <row r="33" spans="1:100" ht="12.75" customHeight="1">
      <c r="A33" s="3">
        <v>50</v>
      </c>
      <c r="B33" s="3">
        <v>1</v>
      </c>
      <c r="C33" s="3">
        <v>0</v>
      </c>
      <c r="D33" s="3"/>
      <c r="E33" s="3" t="s">
        <v>156</v>
      </c>
      <c r="F33" s="3" t="s">
        <v>157</v>
      </c>
      <c r="G33" s="3">
        <f>Y29</f>
        <v>440001.29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</row>
    <row r="34" spans="1:100" ht="12.75" customHeight="1">
      <c r="A34" s="3">
        <v>50</v>
      </c>
      <c r="B34" s="3">
        <v>2</v>
      </c>
      <c r="C34" s="3">
        <f>C13</f>
        <v>1</v>
      </c>
      <c r="D34" s="3"/>
      <c r="E34" s="3" t="s">
        <v>158</v>
      </c>
      <c r="F34" s="3" t="s">
        <v>159</v>
      </c>
      <c r="G34" s="3">
        <f>O29+X29+Y29+R29*1.85</f>
        <v>2061702.08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</row>
    <row r="35" spans="1:100" ht="12.75" customHeight="1">
      <c r="A35" s="3">
        <v>50</v>
      </c>
      <c r="B35" s="3">
        <v>2</v>
      </c>
      <c r="C35" s="3">
        <f>C13</f>
        <v>1</v>
      </c>
      <c r="D35" s="3"/>
      <c r="E35" s="3" t="s">
        <v>160</v>
      </c>
      <c r="F35" s="3" t="s">
        <v>161</v>
      </c>
      <c r="G35" s="3">
        <f>G34*0.18</f>
        <v>371106.3744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</row>
    <row r="36" spans="1:100" ht="12.75" customHeight="1">
      <c r="A36" s="3">
        <v>50</v>
      </c>
      <c r="B36" s="3">
        <v>2</v>
      </c>
      <c r="C36" s="3">
        <f>C13</f>
        <v>1</v>
      </c>
      <c r="D36" s="3"/>
      <c r="E36" s="3" t="s">
        <v>162</v>
      </c>
      <c r="F36" s="3" t="s">
        <v>163</v>
      </c>
      <c r="G36" s="3">
        <f>G35+G34</f>
        <v>2432808.4544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</row>
    <row r="37" spans="1:100" ht="12.75" customHeight="1">
      <c r="A37" s="3">
        <v>50</v>
      </c>
      <c r="B37" s="3">
        <v>2</v>
      </c>
      <c r="C37" s="3">
        <f>C13</f>
        <v>1</v>
      </c>
      <c r="D37" s="3"/>
      <c r="E37" s="3" t="s">
        <v>164</v>
      </c>
      <c r="F37" s="3" t="s">
        <v>165</v>
      </c>
      <c r="G37" s="3">
        <f>G34/2</f>
        <v>1030851.04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</row>
    <row r="38" spans="1:100" ht="12.75" customHeight="1">
      <c r="A38" s="3">
        <v>50</v>
      </c>
      <c r="B38" s="3">
        <v>2</v>
      </c>
      <c r="C38" s="3">
        <f>C13</f>
        <v>1</v>
      </c>
      <c r="D38" s="3"/>
      <c r="E38" s="3" t="s">
        <v>160</v>
      </c>
      <c r="F38" s="3" t="s">
        <v>166</v>
      </c>
      <c r="G38" s="3">
        <f>G37*0.18</f>
        <v>185553.1872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</row>
    <row r="39" spans="1:100" ht="12.75" customHeight="1">
      <c r="A39" s="3">
        <v>50</v>
      </c>
      <c r="B39" s="3">
        <v>2</v>
      </c>
      <c r="C39" s="3">
        <f>C13</f>
        <v>1</v>
      </c>
      <c r="D39" s="3"/>
      <c r="E39" s="3" t="s">
        <v>167</v>
      </c>
      <c r="F39" s="3" t="s">
        <v>168</v>
      </c>
      <c r="G39" s="3">
        <f>G38+G37</f>
        <v>1216404.2272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</row>
    <row r="40" spans="1:100" ht="12.75" customHeight="1">
      <c r="A40" s="2">
        <v>51</v>
      </c>
      <c r="B40" s="2">
        <v>1</v>
      </c>
      <c r="C40" s="2">
        <f>C11</f>
        <v>1</v>
      </c>
      <c r="D40" s="2">
        <f>ROW(A11)</f>
        <v>11</v>
      </c>
      <c r="E40" s="2">
        <f>E11</f>
      </c>
      <c r="F40" s="2"/>
      <c r="G40" s="2"/>
      <c r="H40" s="2"/>
      <c r="I40" s="2"/>
      <c r="J40" s="2"/>
      <c r="K40" s="2"/>
      <c r="L40" s="2"/>
      <c r="M40" s="2"/>
      <c r="N40" s="2"/>
      <c r="O40" s="2">
        <f aca="true" t="shared" si="25" ref="O40:Y40">AB40+O29</f>
        <v>842049.39</v>
      </c>
      <c r="P40" s="2">
        <f t="shared" si="25"/>
        <v>70117.3</v>
      </c>
      <c r="Q40" s="2">
        <f t="shared" si="25"/>
        <v>0</v>
      </c>
      <c r="R40" s="2">
        <f t="shared" si="25"/>
        <v>0</v>
      </c>
      <c r="S40" s="2">
        <f t="shared" si="25"/>
        <v>771932.09</v>
      </c>
      <c r="T40" s="2">
        <f t="shared" si="25"/>
        <v>0</v>
      </c>
      <c r="U40" s="2">
        <f t="shared" si="25"/>
        <v>14561.4</v>
      </c>
      <c r="V40" s="2">
        <f t="shared" si="25"/>
        <v>0</v>
      </c>
      <c r="W40" s="2">
        <f t="shared" si="25"/>
        <v>0</v>
      </c>
      <c r="X40" s="2">
        <f t="shared" si="25"/>
        <v>779651.4</v>
      </c>
      <c r="Y40" s="2">
        <f t="shared" si="25"/>
        <v>440001.29</v>
      </c>
      <c r="Z40" s="2"/>
      <c r="AA40" s="2"/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</row>
    <row r="41" spans="1:100" ht="12.75" customHeight="1">
      <c r="A41" s="2">
        <v>51</v>
      </c>
      <c r="B41" s="2">
        <v>0</v>
      </c>
      <c r="C41" s="2">
        <f>C9</f>
        <v>1</v>
      </c>
      <c r="D41" s="2">
        <f>ROW(A9)</f>
        <v>9</v>
      </c>
      <c r="E41" s="2" t="str">
        <f>E9</f>
        <v>марков алеш.6мес - 1216404,23</v>
      </c>
      <c r="F41" s="2"/>
      <c r="G41" s="2"/>
      <c r="H41" s="2"/>
      <c r="I41" s="2"/>
      <c r="J41" s="2"/>
      <c r="K41" s="2"/>
      <c r="L41" s="2"/>
      <c r="M41" s="2"/>
      <c r="N41" s="2"/>
      <c r="O41" s="2">
        <f aca="true" t="shared" si="26" ref="O41:Y41">AB41+O40</f>
        <v>842049.39</v>
      </c>
      <c r="P41" s="2">
        <f t="shared" si="26"/>
        <v>70117.3</v>
      </c>
      <c r="Q41" s="2">
        <f t="shared" si="26"/>
        <v>0</v>
      </c>
      <c r="R41" s="2">
        <f t="shared" si="26"/>
        <v>0</v>
      </c>
      <c r="S41" s="2">
        <f t="shared" si="26"/>
        <v>771932.09</v>
      </c>
      <c r="T41" s="2">
        <f t="shared" si="26"/>
        <v>0</v>
      </c>
      <c r="U41" s="2">
        <f t="shared" si="26"/>
        <v>14561.4</v>
      </c>
      <c r="V41" s="2">
        <f t="shared" si="26"/>
        <v>0</v>
      </c>
      <c r="W41" s="2">
        <f t="shared" si="26"/>
        <v>0</v>
      </c>
      <c r="X41" s="2">
        <f t="shared" si="26"/>
        <v>779651.4</v>
      </c>
      <c r="Y41" s="2">
        <f t="shared" si="26"/>
        <v>440001.29</v>
      </c>
      <c r="Z41" s="2"/>
      <c r="AA41" s="2"/>
      <c r="AB41" s="2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</row>
    <row r="42" ht="12.75" customHeight="1">
      <c r="A42" t="s">
        <v>169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ASM</cp:lastModifiedBy>
  <cp:lastPrinted>2004-10-28T11:48:16Z</cp:lastPrinted>
  <dcterms:modified xsi:type="dcterms:W3CDTF">2005-10-03T07:46:34Z</dcterms:modified>
  <cp:category/>
  <cp:version/>
  <cp:contentType/>
  <cp:contentStatus/>
</cp:coreProperties>
</file>